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Carolina\Desktop\CONTRATACION  2026\PROCESOS SECOP II\SASI -ANT-CDMC-006-2026 MATERIALES DE FORMACIÓN\1. PRECONTRACTUAL\1. DOCUMENTOS DEL PROCESO\"/>
    </mc:Choice>
  </mc:AlternateContent>
  <xr:revisionPtr revIDLastSave="0" documentId="13_ncr:1_{3FE6E21A-325D-4069-88E6-9081802F4C22}" xr6:coauthVersionLast="47" xr6:coauthVersionMax="47" xr10:uidLastSave="{00000000-0000-0000-0000-000000000000}"/>
  <bookViews>
    <workbookView xWindow="-108" yWindow="-108" windowWidth="23256" windowHeight="12456" xr2:uid="{6B6C46EB-E0BA-4570-9DB6-56DB4B24E6AA}"/>
  </bookViews>
  <sheets>
    <sheet name="Lote 1 Peletería" sheetId="36" r:id="rId1"/>
    <sheet name="Lote 2 Ambiental" sheetId="25" r:id="rId2"/>
    <sheet name="Lote 3 SST" sheetId="26" r:id="rId3"/>
    <sheet name="Lote 4 Papeleria-log" sheetId="27" r:id="rId4"/>
    <sheet name="Lote 5 Servicios Tecno" sheetId="34" r:id="rId5"/>
    <sheet name="Lote 6 Fablab" sheetId="29" r:id="rId6"/>
    <sheet name="Lote 7 Deporte" sheetId="37" r:id="rId7"/>
    <sheet name="Lote 8 Sistemas" sheetId="30" r:id="rId8"/>
    <sheet name="Lote 9 Madera" sheetId="35" r:id="rId9"/>
    <sheet name="Lote 10 Agroindustria" sheetId="32"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xlnm._FilterDatabase" localSheetId="3" hidden="1">'Lote 4 Papeleria-log'!$A$4:$V$340</definedName>
    <definedName name="a">'Lote 4 Papeleria-log'!$1:$1048576</definedName>
    <definedName name="_xlnm.Print_Area" localSheetId="5">'Lote 6 Fablab'!$A$1:$V$10</definedName>
    <definedName name="_xlnm.Print_Area" localSheetId="8">'Lote 9 Madera'!$A$1:$V$44</definedName>
    <definedName name="Presentacion" localSheetId="0">[1]!Tabla1[Prsentación]</definedName>
    <definedName name="Presentacion" localSheetId="9">[2]!Tabla1[Prsentación]</definedName>
    <definedName name="Presentacion" localSheetId="1">[3]!Tabla1[Prsentación]</definedName>
    <definedName name="Presentacion" localSheetId="2">[4]!Tabla1[Prsentación]</definedName>
    <definedName name="Presentacion" localSheetId="3">[5]!Tabla1[Prsentación]</definedName>
    <definedName name="Presentacion" localSheetId="4">[6]!Tabla1[Prsentación]</definedName>
    <definedName name="Presentacion" localSheetId="5">[7]!Tabla1[Prsentación]</definedName>
    <definedName name="Presentacion" localSheetId="6">[8]!Tabla1[Prsentación]</definedName>
    <definedName name="Presentacion" localSheetId="7">[9]!Tabla1[Prsentación]</definedName>
    <definedName name="Presentacion" localSheetId="8">[10]!Tabla1[Prsentación]</definedName>
    <definedName name="Presentacion">#REF!</definedName>
    <definedName name="Simbolos" localSheetId="0">[1]!Tabla1[Simbololo   Unidad]</definedName>
    <definedName name="Simbolos" localSheetId="9">[2]!Tabla1[Simbololo   Unidad]</definedName>
    <definedName name="Simbolos" localSheetId="1">[3]!Tabla1[Simbololo   Unidad]</definedName>
    <definedName name="Simbolos" localSheetId="2">[4]!Tabla1[Simbololo   Unidad]</definedName>
    <definedName name="Simbolos" localSheetId="3">[5]!Tabla1[Simbololo   Unidad]</definedName>
    <definedName name="Simbolos" localSheetId="4">[6]!Tabla1[Simbololo   Unidad]</definedName>
    <definedName name="Simbolos" localSheetId="5">[7]!Tabla1[Simbololo   Unidad]</definedName>
    <definedName name="Simbolos" localSheetId="6">[8]!Tabla1[Simbololo   Unidad]</definedName>
    <definedName name="Simbolos" localSheetId="7">[9]!Tabla1[Simbololo   Unidad]</definedName>
    <definedName name="Simbolos" localSheetId="8">[10]!Tabla1[Simbololo   Unidad]</definedName>
    <definedName name="Simbol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 i="30" l="1"/>
  <c r="U9" i="26"/>
  <c r="U11" i="26"/>
  <c r="U13" i="26"/>
  <c r="U15" i="26"/>
  <c r="U17" i="26"/>
  <c r="U19" i="26"/>
  <c r="U78" i="25"/>
  <c r="M5" i="29"/>
  <c r="U11" i="29"/>
  <c r="U123" i="35" l="1"/>
  <c r="U9" i="32"/>
  <c r="U57" i="32"/>
  <c r="M51" i="32"/>
  <c r="U31" i="32"/>
  <c r="U27" i="32"/>
  <c r="U25" i="32"/>
  <c r="U23" i="32"/>
  <c r="U21" i="32"/>
  <c r="U19" i="32"/>
  <c r="U17" i="32"/>
  <c r="U15" i="32"/>
  <c r="U13" i="32"/>
  <c r="U11" i="32"/>
  <c r="Q9" i="32"/>
  <c r="U7" i="32"/>
  <c r="L5" i="37" l="1"/>
  <c r="I5" i="34"/>
  <c r="L6" i="37"/>
  <c r="M490" i="36"/>
  <c r="U489" i="36"/>
  <c r="M9" i="36"/>
  <c r="M7" i="36"/>
  <c r="M5" i="36"/>
  <c r="U5" i="36"/>
  <c r="U22" i="26" l="1"/>
  <c r="U5" i="26"/>
  <c r="U7" i="26"/>
  <c r="T24" i="26"/>
  <c r="U75" i="25" l="1"/>
  <c r="U61" i="25"/>
  <c r="U59" i="25"/>
  <c r="U57" i="25"/>
  <c r="M57" i="25"/>
  <c r="U43" i="25"/>
  <c r="U41" i="25"/>
  <c r="U39" i="25"/>
  <c r="U21" i="25"/>
  <c r="U19" i="25"/>
  <c r="U17" i="25"/>
  <c r="U11" i="25"/>
  <c r="U9" i="25"/>
  <c r="U7" i="25"/>
  <c r="U5" i="25"/>
  <c r="M5" i="25"/>
  <c r="M17" i="26"/>
  <c r="U67" i="25" l="1"/>
  <c r="U65" i="25"/>
  <c r="U63" i="25"/>
  <c r="U7" i="34"/>
  <c r="M19" i="26" l="1"/>
  <c r="M5" i="26"/>
  <c r="U5" i="35"/>
  <c r="U342" i="27"/>
  <c r="J453" i="36" l="1"/>
  <c r="I453" i="36" s="1"/>
  <c r="L453" i="36" s="1"/>
  <c r="P453" i="36" s="1"/>
  <c r="K6" i="27"/>
  <c r="J14" i="37"/>
  <c r="I14" i="37" s="1"/>
  <c r="L14" i="37" s="1"/>
  <c r="P14" i="37" s="1"/>
  <c r="J13" i="37"/>
  <c r="I13" i="37" s="1"/>
  <c r="L13" i="37" s="1"/>
  <c r="J12" i="37"/>
  <c r="I12" i="37" s="1"/>
  <c r="L12" i="37" s="1"/>
  <c r="P12" i="37" s="1"/>
  <c r="J11" i="37"/>
  <c r="I11" i="37" s="1"/>
  <c r="L11" i="37" s="1"/>
  <c r="J10" i="37"/>
  <c r="I10" i="37" s="1"/>
  <c r="L10" i="37" s="1"/>
  <c r="P10" i="37" s="1"/>
  <c r="J9" i="37"/>
  <c r="I9" i="37" s="1"/>
  <c r="L9" i="37" s="1"/>
  <c r="J8" i="37"/>
  <c r="I8" i="37" s="1"/>
  <c r="L8" i="37" s="1"/>
  <c r="P8" i="37" s="1"/>
  <c r="J7" i="37"/>
  <c r="I7" i="37" s="1"/>
  <c r="L7" i="37" s="1"/>
  <c r="J6" i="37"/>
  <c r="J5" i="37"/>
  <c r="P6" i="37" l="1"/>
  <c r="M5" i="37"/>
  <c r="U5" i="37" s="1"/>
  <c r="J6" i="27"/>
  <c r="I6" i="27" s="1"/>
  <c r="L6" i="27" s="1"/>
  <c r="P6" i="27" s="1"/>
  <c r="M7" i="37"/>
  <c r="U7" i="37" s="1"/>
  <c r="R7" i="37"/>
  <c r="S7" i="37" s="1"/>
  <c r="N7" i="37"/>
  <c r="P7" i="37"/>
  <c r="Q7" i="37" s="1"/>
  <c r="O7" i="37"/>
  <c r="O11" i="37"/>
  <c r="N11" i="37"/>
  <c r="M11" i="37"/>
  <c r="U11" i="37" s="1"/>
  <c r="R11" i="37"/>
  <c r="P11" i="37"/>
  <c r="Q11" i="37" s="1"/>
  <c r="M9" i="37"/>
  <c r="U9" i="37" s="1"/>
  <c r="N9" i="37"/>
  <c r="R9" i="37"/>
  <c r="S9" i="37" s="1"/>
  <c r="P9" i="37"/>
  <c r="Q9" i="37" s="1"/>
  <c r="O9" i="37"/>
  <c r="P13" i="37"/>
  <c r="Q13" i="37" s="1"/>
  <c r="O13" i="37"/>
  <c r="N13" i="37"/>
  <c r="M13" i="37"/>
  <c r="U13" i="37" s="1"/>
  <c r="R13" i="37"/>
  <c r="S13" i="37" s="1"/>
  <c r="R5" i="37"/>
  <c r="P5" i="37"/>
  <c r="Q5" i="37" s="1"/>
  <c r="O5" i="37"/>
  <c r="N5" i="37"/>
  <c r="U16" i="37" l="1"/>
  <c r="S5" i="37"/>
  <c r="V1" i="37"/>
  <c r="S11" i="37"/>
  <c r="U487" i="36" l="1"/>
  <c r="J487" i="36"/>
  <c r="I487" i="36" s="1"/>
  <c r="L487" i="36" s="1"/>
  <c r="P487" i="36" s="1"/>
  <c r="J486" i="36"/>
  <c r="I486" i="36" s="1"/>
  <c r="L486" i="36" s="1"/>
  <c r="U485" i="36"/>
  <c r="J485" i="36"/>
  <c r="I485" i="36" s="1"/>
  <c r="L485" i="36" s="1"/>
  <c r="P485" i="36" s="1"/>
  <c r="J484" i="36"/>
  <c r="I484" i="36" s="1"/>
  <c r="L484" i="36" s="1"/>
  <c r="U483" i="36"/>
  <c r="J483" i="36"/>
  <c r="I483" i="36" s="1"/>
  <c r="L483" i="36" s="1"/>
  <c r="J482" i="36"/>
  <c r="I482" i="36" s="1"/>
  <c r="L482" i="36" s="1"/>
  <c r="U481" i="36"/>
  <c r="J481" i="36"/>
  <c r="I481" i="36" s="1"/>
  <c r="L481" i="36" s="1"/>
  <c r="P481" i="36" s="1"/>
  <c r="J480" i="36"/>
  <c r="I480" i="36" s="1"/>
  <c r="L480" i="36" s="1"/>
  <c r="U479" i="36"/>
  <c r="J479" i="36"/>
  <c r="I479" i="36" s="1"/>
  <c r="L479" i="36" s="1"/>
  <c r="P479" i="36" s="1"/>
  <c r="J478" i="36"/>
  <c r="I478" i="36" s="1"/>
  <c r="L478" i="36" s="1"/>
  <c r="U477" i="36"/>
  <c r="J477" i="36"/>
  <c r="I477" i="36" s="1"/>
  <c r="L477" i="36" s="1"/>
  <c r="P477" i="36" s="1"/>
  <c r="J476" i="36"/>
  <c r="I476" i="36" s="1"/>
  <c r="L476" i="36" s="1"/>
  <c r="U475" i="36"/>
  <c r="J475" i="36"/>
  <c r="I475" i="36" s="1"/>
  <c r="L475" i="36" s="1"/>
  <c r="J474" i="36"/>
  <c r="I474" i="36" s="1"/>
  <c r="L474" i="36" s="1"/>
  <c r="J473" i="36"/>
  <c r="I473" i="36" s="1"/>
  <c r="L473" i="36" s="1"/>
  <c r="P473" i="36" s="1"/>
  <c r="J472" i="36"/>
  <c r="I472" i="36" s="1"/>
  <c r="L472" i="36" s="1"/>
  <c r="I471" i="36"/>
  <c r="L471" i="36" s="1"/>
  <c r="I470" i="36"/>
  <c r="L470" i="36" s="1"/>
  <c r="P470" i="36" s="1"/>
  <c r="U469" i="36"/>
  <c r="J469" i="36"/>
  <c r="I469" i="36" s="1"/>
  <c r="L469" i="36" s="1"/>
  <c r="I468" i="36"/>
  <c r="L468" i="36" s="1"/>
  <c r="P468" i="36" s="1"/>
  <c r="U467" i="36"/>
  <c r="J467" i="36"/>
  <c r="I467" i="36" s="1"/>
  <c r="L467" i="36" s="1"/>
  <c r="J466" i="36"/>
  <c r="I466" i="36" s="1"/>
  <c r="L466" i="36" s="1"/>
  <c r="U465" i="36"/>
  <c r="J465" i="36"/>
  <c r="I465" i="36" s="1"/>
  <c r="L465" i="36" s="1"/>
  <c r="P465" i="36" s="1"/>
  <c r="J464" i="36"/>
  <c r="I464" i="36" s="1"/>
  <c r="L464" i="36" s="1"/>
  <c r="J463" i="36"/>
  <c r="I463" i="36" s="1"/>
  <c r="L463" i="36" s="1"/>
  <c r="P463" i="36" s="1"/>
  <c r="J462" i="36"/>
  <c r="I462" i="36" s="1"/>
  <c r="L462" i="36" s="1"/>
  <c r="J461" i="36"/>
  <c r="I461" i="36" s="1"/>
  <c r="L461" i="36" s="1"/>
  <c r="J460" i="36"/>
  <c r="I460" i="36" s="1"/>
  <c r="L460" i="36" s="1"/>
  <c r="J459" i="36"/>
  <c r="I459" i="36" s="1"/>
  <c r="L459" i="36" s="1"/>
  <c r="J458" i="36"/>
  <c r="I458" i="36" s="1"/>
  <c r="L458" i="36" s="1"/>
  <c r="J457" i="36"/>
  <c r="I457" i="36" s="1"/>
  <c r="J456" i="36"/>
  <c r="I456" i="36" s="1"/>
  <c r="L456" i="36" s="1"/>
  <c r="J455" i="36"/>
  <c r="I455" i="36" s="1"/>
  <c r="L455" i="36" s="1"/>
  <c r="P455" i="36" s="1"/>
  <c r="J454" i="36"/>
  <c r="I454" i="36" s="1"/>
  <c r="L454" i="36" s="1"/>
  <c r="J452" i="36"/>
  <c r="I452" i="36" s="1"/>
  <c r="L452" i="36" s="1"/>
  <c r="P452" i="36" s="1"/>
  <c r="J451" i="36"/>
  <c r="I451" i="36" s="1"/>
  <c r="L451" i="36" s="1"/>
  <c r="U450" i="36"/>
  <c r="J450" i="36"/>
  <c r="I450" i="36" s="1"/>
  <c r="J449" i="36"/>
  <c r="I449" i="36" s="1"/>
  <c r="L449" i="36" s="1"/>
  <c r="U448" i="36"/>
  <c r="J448" i="36"/>
  <c r="I448" i="36" s="1"/>
  <c r="L448" i="36" s="1"/>
  <c r="J447" i="36"/>
  <c r="I447" i="36" s="1"/>
  <c r="L447" i="36" s="1"/>
  <c r="U446" i="36"/>
  <c r="J446" i="36"/>
  <c r="I446" i="36" s="1"/>
  <c r="L446" i="36" s="1"/>
  <c r="P446" i="36" s="1"/>
  <c r="J445" i="36"/>
  <c r="I445" i="36" s="1"/>
  <c r="L445" i="36" s="1"/>
  <c r="M445" i="36" s="1"/>
  <c r="U445" i="36" s="1"/>
  <c r="U444" i="36"/>
  <c r="J444" i="36"/>
  <c r="I444" i="36" s="1"/>
  <c r="L444" i="36" s="1"/>
  <c r="P444" i="36" s="1"/>
  <c r="J443" i="36"/>
  <c r="I443" i="36" s="1"/>
  <c r="L443" i="36" s="1"/>
  <c r="P443" i="36" s="1"/>
  <c r="U442" i="36"/>
  <c r="J442" i="36"/>
  <c r="I442" i="36" s="1"/>
  <c r="L442" i="36" s="1"/>
  <c r="P442" i="36" s="1"/>
  <c r="J441" i="36"/>
  <c r="I441" i="36" s="1"/>
  <c r="L441" i="36" s="1"/>
  <c r="P441" i="36" s="1"/>
  <c r="J440" i="36"/>
  <c r="I440" i="36" s="1"/>
  <c r="L440" i="36" s="1"/>
  <c r="P440" i="36" s="1"/>
  <c r="J439" i="36"/>
  <c r="I439" i="36" s="1"/>
  <c r="L439" i="36" s="1"/>
  <c r="N439" i="36" s="1"/>
  <c r="U438" i="36"/>
  <c r="J438" i="36"/>
  <c r="I438" i="36" s="1"/>
  <c r="J437" i="36"/>
  <c r="I437" i="36" s="1"/>
  <c r="L437" i="36" s="1"/>
  <c r="P437" i="36" s="1"/>
  <c r="J436" i="36"/>
  <c r="I436" i="36" s="1"/>
  <c r="J435" i="36"/>
  <c r="I435" i="36" s="1"/>
  <c r="L435" i="36" s="1"/>
  <c r="U434" i="36"/>
  <c r="J434" i="36"/>
  <c r="I434" i="36" s="1"/>
  <c r="L434" i="36" s="1"/>
  <c r="P434" i="36" s="1"/>
  <c r="J433" i="36"/>
  <c r="I433" i="36" s="1"/>
  <c r="L433" i="36" s="1"/>
  <c r="P433" i="36" s="1"/>
  <c r="J432" i="36"/>
  <c r="I432" i="36" s="1"/>
  <c r="L432" i="36" s="1"/>
  <c r="U431" i="36"/>
  <c r="J431" i="36"/>
  <c r="I431" i="36" s="1"/>
  <c r="J430" i="36"/>
  <c r="I430" i="36" s="1"/>
  <c r="L430" i="36" s="1"/>
  <c r="U429" i="36"/>
  <c r="J429" i="36"/>
  <c r="I429" i="36" s="1"/>
  <c r="L429" i="36" s="1"/>
  <c r="P429" i="36" s="1"/>
  <c r="J428" i="36"/>
  <c r="I428" i="36" s="1"/>
  <c r="L428" i="36" s="1"/>
  <c r="P428" i="36" s="1"/>
  <c r="J427" i="36"/>
  <c r="I427" i="36" s="1"/>
  <c r="L427" i="36" s="1"/>
  <c r="U426" i="36"/>
  <c r="J426" i="36"/>
  <c r="I426" i="36" s="1"/>
  <c r="J425" i="36"/>
  <c r="I425" i="36" s="1"/>
  <c r="L425" i="36" s="1"/>
  <c r="J424" i="36"/>
  <c r="I424" i="36" s="1"/>
  <c r="L424" i="36" s="1"/>
  <c r="P424" i="36" s="1"/>
  <c r="U423" i="36"/>
  <c r="J423" i="36"/>
  <c r="I423" i="36" s="1"/>
  <c r="L423" i="36" s="1"/>
  <c r="P423" i="36" s="1"/>
  <c r="J422" i="36"/>
  <c r="I422" i="36" s="1"/>
  <c r="L422" i="36" s="1"/>
  <c r="P422" i="36" s="1"/>
  <c r="J421" i="36"/>
  <c r="I421" i="36" s="1"/>
  <c r="L421" i="36" s="1"/>
  <c r="U420" i="36"/>
  <c r="J420" i="36"/>
  <c r="I420" i="36" s="1"/>
  <c r="L420" i="36" s="1"/>
  <c r="P420" i="36" s="1"/>
  <c r="J419" i="36"/>
  <c r="I419" i="36" s="1"/>
  <c r="L419" i="36" s="1"/>
  <c r="P419" i="36" s="1"/>
  <c r="J418" i="36"/>
  <c r="I418" i="36" s="1"/>
  <c r="L418" i="36" s="1"/>
  <c r="U417" i="36"/>
  <c r="J417" i="36"/>
  <c r="I417" i="36" s="1"/>
  <c r="L417" i="36" s="1"/>
  <c r="P417" i="36" s="1"/>
  <c r="J416" i="36"/>
  <c r="I416" i="36" s="1"/>
  <c r="L416" i="36" s="1"/>
  <c r="P416" i="36" s="1"/>
  <c r="J415" i="36"/>
  <c r="I415" i="36" s="1"/>
  <c r="L415" i="36" s="1"/>
  <c r="U414" i="36"/>
  <c r="J414" i="36"/>
  <c r="I414" i="36" s="1"/>
  <c r="L414" i="36" s="1"/>
  <c r="P414" i="36" s="1"/>
  <c r="J413" i="36"/>
  <c r="I413" i="36" s="1"/>
  <c r="L413" i="36" s="1"/>
  <c r="U412" i="36"/>
  <c r="J412" i="36"/>
  <c r="I412" i="36" s="1"/>
  <c r="J411" i="36"/>
  <c r="I411" i="36" s="1"/>
  <c r="L411" i="36" s="1"/>
  <c r="U410" i="36"/>
  <c r="J410" i="36"/>
  <c r="I410" i="36" s="1"/>
  <c r="J409" i="36"/>
  <c r="I409" i="36" s="1"/>
  <c r="J408" i="36"/>
  <c r="I408" i="36" s="1"/>
  <c r="L408" i="36" s="1"/>
  <c r="P408" i="36" s="1"/>
  <c r="J407" i="36"/>
  <c r="I407" i="36" s="1"/>
  <c r="L407" i="36" s="1"/>
  <c r="U406" i="36"/>
  <c r="J406" i="36"/>
  <c r="I406" i="36" s="1"/>
  <c r="L406" i="36" s="1"/>
  <c r="J405" i="36"/>
  <c r="I405" i="36" s="1"/>
  <c r="L405" i="36" s="1"/>
  <c r="P405" i="36" s="1"/>
  <c r="U404" i="36"/>
  <c r="J404" i="36"/>
  <c r="I404" i="36" s="1"/>
  <c r="L404" i="36" s="1"/>
  <c r="P404" i="36" s="1"/>
  <c r="J403" i="36"/>
  <c r="I403" i="36" s="1"/>
  <c r="L403" i="36" s="1"/>
  <c r="U402" i="36"/>
  <c r="J402" i="36"/>
  <c r="I402" i="36" s="1"/>
  <c r="L402" i="36" s="1"/>
  <c r="P402" i="36" s="1"/>
  <c r="J401" i="36"/>
  <c r="I401" i="36" s="1"/>
  <c r="L401" i="36" s="1"/>
  <c r="U400" i="36"/>
  <c r="J400" i="36"/>
  <c r="I400" i="36" s="1"/>
  <c r="L400" i="36" s="1"/>
  <c r="P400" i="36" s="1"/>
  <c r="J399" i="36"/>
  <c r="I399" i="36" s="1"/>
  <c r="L399" i="36" s="1"/>
  <c r="P399" i="36" s="1"/>
  <c r="U398" i="36"/>
  <c r="J398" i="36"/>
  <c r="I398" i="36" s="1"/>
  <c r="L398" i="36" s="1"/>
  <c r="P398" i="36" s="1"/>
  <c r="J397" i="36"/>
  <c r="I397" i="36" s="1"/>
  <c r="L397" i="36" s="1"/>
  <c r="U396" i="36"/>
  <c r="J396" i="36"/>
  <c r="I396" i="36" s="1"/>
  <c r="L396" i="36" s="1"/>
  <c r="P396" i="36" s="1"/>
  <c r="J395" i="36"/>
  <c r="I395" i="36" s="1"/>
  <c r="L395" i="36" s="1"/>
  <c r="U394" i="36"/>
  <c r="J394" i="36"/>
  <c r="I394" i="36" s="1"/>
  <c r="L394" i="36" s="1"/>
  <c r="P394" i="36" s="1"/>
  <c r="J393" i="36"/>
  <c r="I393" i="36" s="1"/>
  <c r="L393" i="36" s="1"/>
  <c r="U392" i="36"/>
  <c r="J392" i="36"/>
  <c r="I392" i="36" s="1"/>
  <c r="L392" i="36" s="1"/>
  <c r="P392" i="36" s="1"/>
  <c r="J391" i="36"/>
  <c r="I391" i="36" s="1"/>
  <c r="L391" i="36" s="1"/>
  <c r="P391" i="36" s="1"/>
  <c r="U390" i="36"/>
  <c r="J390" i="36"/>
  <c r="I390" i="36" s="1"/>
  <c r="L390" i="36" s="1"/>
  <c r="P390" i="36" s="1"/>
  <c r="J389" i="36"/>
  <c r="I389" i="36" s="1"/>
  <c r="L389" i="36" s="1"/>
  <c r="P389" i="36" s="1"/>
  <c r="U388" i="36"/>
  <c r="J388" i="36"/>
  <c r="I388" i="36" s="1"/>
  <c r="L388" i="36" s="1"/>
  <c r="J387" i="36"/>
  <c r="I387" i="36" s="1"/>
  <c r="L387" i="36" s="1"/>
  <c r="U386" i="36"/>
  <c r="J386" i="36"/>
  <c r="I386" i="36" s="1"/>
  <c r="L386" i="36" s="1"/>
  <c r="J385" i="36"/>
  <c r="I385" i="36" s="1"/>
  <c r="L385" i="36" s="1"/>
  <c r="U384" i="36"/>
  <c r="J384" i="36"/>
  <c r="I384" i="36" s="1"/>
  <c r="L384" i="36" s="1"/>
  <c r="P384" i="36" s="1"/>
  <c r="J383" i="36"/>
  <c r="I383" i="36" s="1"/>
  <c r="J382" i="36"/>
  <c r="I382" i="36" s="1"/>
  <c r="L382" i="36" s="1"/>
  <c r="J381" i="36"/>
  <c r="I381" i="36" s="1"/>
  <c r="L381" i="36" s="1"/>
  <c r="P381" i="36" s="1"/>
  <c r="J380" i="36"/>
  <c r="I380" i="36" s="1"/>
  <c r="L380" i="36" s="1"/>
  <c r="P380" i="36" s="1"/>
  <c r="J379" i="36"/>
  <c r="I379" i="36" s="1"/>
  <c r="L379" i="36" s="1"/>
  <c r="U378" i="36"/>
  <c r="J378" i="36"/>
  <c r="I378" i="36" s="1"/>
  <c r="L378" i="36" s="1"/>
  <c r="P378" i="36" s="1"/>
  <c r="J377" i="36"/>
  <c r="I377" i="36" s="1"/>
  <c r="L377" i="36" s="1"/>
  <c r="P377" i="36" s="1"/>
  <c r="J376" i="36"/>
  <c r="I376" i="36" s="1"/>
  <c r="L376" i="36" s="1"/>
  <c r="U375" i="36"/>
  <c r="J375" i="36"/>
  <c r="I375" i="36" s="1"/>
  <c r="J374" i="36"/>
  <c r="I374" i="36" s="1"/>
  <c r="L374" i="36" s="1"/>
  <c r="P374" i="36" s="1"/>
  <c r="J373" i="36"/>
  <c r="I373" i="36" s="1"/>
  <c r="L373" i="36" s="1"/>
  <c r="U372" i="36"/>
  <c r="J372" i="36"/>
  <c r="I372" i="36" s="1"/>
  <c r="L372" i="36" s="1"/>
  <c r="P372" i="36" s="1"/>
  <c r="J371" i="36"/>
  <c r="I371" i="36" s="1"/>
  <c r="L371" i="36" s="1"/>
  <c r="P371" i="36" s="1"/>
  <c r="J370" i="36"/>
  <c r="I370" i="36" s="1"/>
  <c r="L370" i="36" s="1"/>
  <c r="P370" i="36" s="1"/>
  <c r="J369" i="36"/>
  <c r="I369" i="36" s="1"/>
  <c r="L369" i="36" s="1"/>
  <c r="U368" i="36"/>
  <c r="J368" i="36"/>
  <c r="I368" i="36" s="1"/>
  <c r="L368" i="36" s="1"/>
  <c r="P368" i="36" s="1"/>
  <c r="J367" i="36"/>
  <c r="I367" i="36" s="1"/>
  <c r="L367" i="36" s="1"/>
  <c r="U366" i="36"/>
  <c r="J366" i="36"/>
  <c r="I366" i="36" s="1"/>
  <c r="L366" i="36" s="1"/>
  <c r="P366" i="36" s="1"/>
  <c r="J365" i="36"/>
  <c r="I365" i="36" s="1"/>
  <c r="L365" i="36" s="1"/>
  <c r="P365" i="36" s="1"/>
  <c r="U364" i="36"/>
  <c r="J364" i="36"/>
  <c r="I364" i="36" s="1"/>
  <c r="L364" i="36" s="1"/>
  <c r="P364" i="36" s="1"/>
  <c r="J363" i="36"/>
  <c r="I363" i="36" s="1"/>
  <c r="L363" i="36" s="1"/>
  <c r="U362" i="36"/>
  <c r="J362" i="36"/>
  <c r="I362" i="36" s="1"/>
  <c r="L362" i="36" s="1"/>
  <c r="P362" i="36" s="1"/>
  <c r="J361" i="36"/>
  <c r="I361" i="36" s="1"/>
  <c r="L361" i="36" s="1"/>
  <c r="U360" i="36"/>
  <c r="J360" i="36"/>
  <c r="I360" i="36" s="1"/>
  <c r="L360" i="36" s="1"/>
  <c r="J359" i="36"/>
  <c r="I359" i="36" s="1"/>
  <c r="L359" i="36" s="1"/>
  <c r="P359" i="36" s="1"/>
  <c r="U358" i="36"/>
  <c r="J358" i="36"/>
  <c r="I358" i="36" s="1"/>
  <c r="J357" i="36"/>
  <c r="I357" i="36" s="1"/>
  <c r="L357" i="36" s="1"/>
  <c r="U356" i="36"/>
  <c r="J356" i="36"/>
  <c r="I356" i="36" s="1"/>
  <c r="L356" i="36" s="1"/>
  <c r="J355" i="36"/>
  <c r="I355" i="36" s="1"/>
  <c r="L355" i="36" s="1"/>
  <c r="P355" i="36" s="1"/>
  <c r="U354" i="36"/>
  <c r="J354" i="36"/>
  <c r="I354" i="36" s="1"/>
  <c r="L354" i="36" s="1"/>
  <c r="J353" i="36"/>
  <c r="I353" i="36" s="1"/>
  <c r="L353" i="36" s="1"/>
  <c r="P353" i="36" s="1"/>
  <c r="U352" i="36"/>
  <c r="J352" i="36"/>
  <c r="I352" i="36" s="1"/>
  <c r="L352" i="36" s="1"/>
  <c r="P352" i="36" s="1"/>
  <c r="J351" i="36"/>
  <c r="I351" i="36" s="1"/>
  <c r="L351" i="36" s="1"/>
  <c r="U350" i="36"/>
  <c r="J350" i="36"/>
  <c r="I350" i="36" s="1"/>
  <c r="L350" i="36" s="1"/>
  <c r="J349" i="36"/>
  <c r="I349" i="36" s="1"/>
  <c r="L349" i="36" s="1"/>
  <c r="P349" i="36" s="1"/>
  <c r="U348" i="36"/>
  <c r="J348" i="36"/>
  <c r="I348" i="36" s="1"/>
  <c r="L348" i="36" s="1"/>
  <c r="P348" i="36" s="1"/>
  <c r="J347" i="36"/>
  <c r="I347" i="36" s="1"/>
  <c r="L347" i="36" s="1"/>
  <c r="U346" i="36"/>
  <c r="J346" i="36"/>
  <c r="I346" i="36" s="1"/>
  <c r="L346" i="36" s="1"/>
  <c r="P346" i="36" s="1"/>
  <c r="J345" i="36"/>
  <c r="I345" i="36" s="1"/>
  <c r="J344" i="36"/>
  <c r="I344" i="36" s="1"/>
  <c r="L344" i="36" s="1"/>
  <c r="U343" i="36"/>
  <c r="J343" i="36"/>
  <c r="I343" i="36" s="1"/>
  <c r="L343" i="36" s="1"/>
  <c r="P343" i="36" s="1"/>
  <c r="J342" i="36"/>
  <c r="I342" i="36" s="1"/>
  <c r="J341" i="36"/>
  <c r="I341" i="36" s="1"/>
  <c r="L341" i="36" s="1"/>
  <c r="P341" i="36" s="1"/>
  <c r="U340" i="36"/>
  <c r="J340" i="36"/>
  <c r="I340" i="36" s="1"/>
  <c r="L340" i="36" s="1"/>
  <c r="J339" i="36"/>
  <c r="I339" i="36" s="1"/>
  <c r="L339" i="36" s="1"/>
  <c r="P339" i="36" s="1"/>
  <c r="U338" i="36"/>
  <c r="J338" i="36"/>
  <c r="I338" i="36" s="1"/>
  <c r="J337" i="36"/>
  <c r="I337" i="36" s="1"/>
  <c r="L337" i="36" s="1"/>
  <c r="U336" i="36"/>
  <c r="J336" i="36"/>
  <c r="I336" i="36" s="1"/>
  <c r="L336" i="36" s="1"/>
  <c r="P336" i="36" s="1"/>
  <c r="J335" i="36"/>
  <c r="I335" i="36" s="1"/>
  <c r="L335" i="36" s="1"/>
  <c r="I334" i="36"/>
  <c r="L334" i="36" s="1"/>
  <c r="P334" i="36" s="1"/>
  <c r="J333" i="36"/>
  <c r="I333" i="36" s="1"/>
  <c r="L333" i="36" s="1"/>
  <c r="J332" i="36"/>
  <c r="I332" i="36" s="1"/>
  <c r="L332" i="36" s="1"/>
  <c r="P332" i="36" s="1"/>
  <c r="J331" i="36"/>
  <c r="I331" i="36" s="1"/>
  <c r="L331" i="36" s="1"/>
  <c r="U330" i="36"/>
  <c r="J330" i="36"/>
  <c r="I330" i="36" s="1"/>
  <c r="L330" i="36" s="1"/>
  <c r="J329" i="36"/>
  <c r="I329" i="36" s="1"/>
  <c r="L329" i="36" s="1"/>
  <c r="U328" i="36"/>
  <c r="J328" i="36"/>
  <c r="I328" i="36" s="1"/>
  <c r="J327" i="36"/>
  <c r="I327" i="36" s="1"/>
  <c r="L327" i="36" s="1"/>
  <c r="U326" i="36"/>
  <c r="I326" i="36"/>
  <c r="L326" i="36" s="1"/>
  <c r="P326" i="36" s="1"/>
  <c r="J325" i="36"/>
  <c r="I325" i="36" s="1"/>
  <c r="L325" i="36" s="1"/>
  <c r="U324" i="36"/>
  <c r="I324" i="36"/>
  <c r="L324" i="36" s="1"/>
  <c r="P324" i="36" s="1"/>
  <c r="J323" i="36"/>
  <c r="I323" i="36" s="1"/>
  <c r="L323" i="36" s="1"/>
  <c r="P323" i="36" s="1"/>
  <c r="U322" i="36"/>
  <c r="J322" i="36"/>
  <c r="I322" i="36" s="1"/>
  <c r="L322" i="36" s="1"/>
  <c r="J321" i="36"/>
  <c r="I321" i="36" s="1"/>
  <c r="L321" i="36" s="1"/>
  <c r="P321" i="36" s="1"/>
  <c r="U320" i="36"/>
  <c r="J320" i="36"/>
  <c r="I320" i="36" s="1"/>
  <c r="L320" i="36" s="1"/>
  <c r="J319" i="36"/>
  <c r="I319" i="36" s="1"/>
  <c r="L319" i="36" s="1"/>
  <c r="P319" i="36" s="1"/>
  <c r="U318" i="36"/>
  <c r="J318" i="36"/>
  <c r="I318" i="36" s="1"/>
  <c r="L318" i="36" s="1"/>
  <c r="J317" i="36"/>
  <c r="I317" i="36" s="1"/>
  <c r="L317" i="36" s="1"/>
  <c r="U316" i="36"/>
  <c r="J316" i="36"/>
  <c r="I316" i="36" s="1"/>
  <c r="L316" i="36" s="1"/>
  <c r="J315" i="36"/>
  <c r="I315" i="36" s="1"/>
  <c r="L315" i="36" s="1"/>
  <c r="U314" i="36"/>
  <c r="J314" i="36"/>
  <c r="I314" i="36" s="1"/>
  <c r="L314" i="36" s="1"/>
  <c r="P314" i="36" s="1"/>
  <c r="J313" i="36"/>
  <c r="I313" i="36" s="1"/>
  <c r="J312" i="36"/>
  <c r="I312" i="36" s="1"/>
  <c r="L312" i="36" s="1"/>
  <c r="U311" i="36"/>
  <c r="J311" i="36"/>
  <c r="I311" i="36" s="1"/>
  <c r="J310" i="36"/>
  <c r="I310" i="36" s="1"/>
  <c r="U309" i="36"/>
  <c r="J309" i="36"/>
  <c r="I309" i="36" s="1"/>
  <c r="J308" i="36"/>
  <c r="I308" i="36" s="1"/>
  <c r="U307" i="36"/>
  <c r="J307" i="36"/>
  <c r="I307" i="36" s="1"/>
  <c r="J306" i="36"/>
  <c r="I306" i="36" s="1"/>
  <c r="U305" i="36"/>
  <c r="J305" i="36"/>
  <c r="I305" i="36" s="1"/>
  <c r="J304" i="36"/>
  <c r="I304" i="36" s="1"/>
  <c r="U303" i="36"/>
  <c r="I303" i="36"/>
  <c r="I302" i="36"/>
  <c r="U301" i="36"/>
  <c r="I301" i="36"/>
  <c r="I300" i="36"/>
  <c r="U299" i="36"/>
  <c r="I299" i="36"/>
  <c r="J298" i="36"/>
  <c r="I298" i="36" s="1"/>
  <c r="U297" i="36"/>
  <c r="J297" i="36"/>
  <c r="I297" i="36" s="1"/>
  <c r="J296" i="36"/>
  <c r="I296" i="36" s="1"/>
  <c r="U295" i="36"/>
  <c r="J295" i="36"/>
  <c r="I295" i="36" s="1"/>
  <c r="J294" i="36"/>
  <c r="I294" i="36" s="1"/>
  <c r="U293" i="36"/>
  <c r="J293" i="36"/>
  <c r="I293" i="36" s="1"/>
  <c r="J292" i="36"/>
  <c r="I292" i="36" s="1"/>
  <c r="U291" i="36"/>
  <c r="J291" i="36"/>
  <c r="I291" i="36" s="1"/>
  <c r="J290" i="36"/>
  <c r="I290" i="36" s="1"/>
  <c r="U289" i="36"/>
  <c r="J289" i="36"/>
  <c r="I289" i="36" s="1"/>
  <c r="J288" i="36"/>
  <c r="I288" i="36" s="1"/>
  <c r="J287" i="36"/>
  <c r="I287" i="36" s="1"/>
  <c r="J286" i="36"/>
  <c r="I286" i="36" s="1"/>
  <c r="U285" i="36"/>
  <c r="J285" i="36"/>
  <c r="I285" i="36" s="1"/>
  <c r="J284" i="36"/>
  <c r="I284" i="36" s="1"/>
  <c r="U283" i="36"/>
  <c r="J283" i="36"/>
  <c r="I283" i="36" s="1"/>
  <c r="J282" i="36"/>
  <c r="I282" i="36" s="1"/>
  <c r="U281" i="36"/>
  <c r="J281" i="36"/>
  <c r="I281" i="36" s="1"/>
  <c r="J280" i="36"/>
  <c r="I280" i="36" s="1"/>
  <c r="U279" i="36"/>
  <c r="J279" i="36"/>
  <c r="I279" i="36" s="1"/>
  <c r="J278" i="36"/>
  <c r="I278" i="36" s="1"/>
  <c r="U277" i="36"/>
  <c r="J277" i="36"/>
  <c r="I277" i="36" s="1"/>
  <c r="J276" i="36"/>
  <c r="I276" i="36" s="1"/>
  <c r="U275" i="36"/>
  <c r="J275" i="36"/>
  <c r="I275" i="36" s="1"/>
  <c r="J274" i="36"/>
  <c r="I274" i="36" s="1"/>
  <c r="U273" i="36"/>
  <c r="J273" i="36"/>
  <c r="I273" i="36" s="1"/>
  <c r="J272" i="36"/>
  <c r="I272" i="36" s="1"/>
  <c r="U271" i="36"/>
  <c r="J271" i="36"/>
  <c r="I271" i="36" s="1"/>
  <c r="J270" i="36"/>
  <c r="I270" i="36" s="1"/>
  <c r="U269" i="36"/>
  <c r="J269" i="36"/>
  <c r="I269" i="36" s="1"/>
  <c r="J268" i="36"/>
  <c r="I268" i="36" s="1"/>
  <c r="U267" i="36"/>
  <c r="J267" i="36"/>
  <c r="I267" i="36" s="1"/>
  <c r="J266" i="36"/>
  <c r="I266" i="36" s="1"/>
  <c r="U265" i="36"/>
  <c r="J265" i="36"/>
  <c r="I265" i="36" s="1"/>
  <c r="J264" i="36"/>
  <c r="I264" i="36" s="1"/>
  <c r="U263" i="36"/>
  <c r="J263" i="36"/>
  <c r="I263" i="36" s="1"/>
  <c r="J262" i="36"/>
  <c r="I262" i="36" s="1"/>
  <c r="U261" i="36"/>
  <c r="J261" i="36"/>
  <c r="I261" i="36" s="1"/>
  <c r="J260" i="36"/>
  <c r="I260" i="36" s="1"/>
  <c r="U259" i="36"/>
  <c r="J259" i="36"/>
  <c r="I259" i="36" s="1"/>
  <c r="J258" i="36"/>
  <c r="I258" i="36" s="1"/>
  <c r="U257" i="36"/>
  <c r="J257" i="36"/>
  <c r="I257" i="36" s="1"/>
  <c r="J256" i="36"/>
  <c r="I256" i="36" s="1"/>
  <c r="U255" i="36"/>
  <c r="J255" i="36"/>
  <c r="I255" i="36" s="1"/>
  <c r="J254" i="36"/>
  <c r="I254" i="36" s="1"/>
  <c r="U253" i="36"/>
  <c r="J253" i="36"/>
  <c r="I253" i="36" s="1"/>
  <c r="J252" i="36"/>
  <c r="I252" i="36" s="1"/>
  <c r="U251" i="36"/>
  <c r="J251" i="36"/>
  <c r="I251" i="36" s="1"/>
  <c r="J250" i="36"/>
  <c r="I250" i="36" s="1"/>
  <c r="U249" i="36"/>
  <c r="J249" i="36"/>
  <c r="I249" i="36" s="1"/>
  <c r="J248" i="36"/>
  <c r="I248" i="36" s="1"/>
  <c r="U247" i="36"/>
  <c r="J247" i="36"/>
  <c r="I247" i="36" s="1"/>
  <c r="J246" i="36"/>
  <c r="I246" i="36" s="1"/>
  <c r="U245" i="36"/>
  <c r="J245" i="36"/>
  <c r="I245" i="36" s="1"/>
  <c r="J244" i="36"/>
  <c r="I244" i="36" s="1"/>
  <c r="J243" i="36"/>
  <c r="I243" i="36" s="1"/>
  <c r="J242" i="36"/>
  <c r="I242" i="36" s="1"/>
  <c r="U241" i="36"/>
  <c r="J241" i="36"/>
  <c r="I241" i="36" s="1"/>
  <c r="J240" i="36"/>
  <c r="I240" i="36" s="1"/>
  <c r="U239" i="36"/>
  <c r="J239" i="36"/>
  <c r="I239" i="36" s="1"/>
  <c r="J238" i="36"/>
  <c r="I238" i="36" s="1"/>
  <c r="U237" i="36"/>
  <c r="J237" i="36"/>
  <c r="I237" i="36" s="1"/>
  <c r="J236" i="36"/>
  <c r="I236" i="36" s="1"/>
  <c r="U235" i="36"/>
  <c r="J235" i="36"/>
  <c r="I235" i="36" s="1"/>
  <c r="J234" i="36"/>
  <c r="I234" i="36" s="1"/>
  <c r="U233" i="36"/>
  <c r="J233" i="36"/>
  <c r="I233" i="36" s="1"/>
  <c r="J232" i="36"/>
  <c r="I232" i="36" s="1"/>
  <c r="U231" i="36"/>
  <c r="J231" i="36"/>
  <c r="I231" i="36" s="1"/>
  <c r="J230" i="36"/>
  <c r="I230" i="36" s="1"/>
  <c r="U229" i="36"/>
  <c r="J229" i="36"/>
  <c r="I229" i="36" s="1"/>
  <c r="J228" i="36"/>
  <c r="I228" i="36" s="1"/>
  <c r="U227" i="36"/>
  <c r="J227" i="36"/>
  <c r="I227" i="36" s="1"/>
  <c r="J226" i="36"/>
  <c r="I226" i="36" s="1"/>
  <c r="U225" i="36"/>
  <c r="J225" i="36"/>
  <c r="I225" i="36" s="1"/>
  <c r="J224" i="36"/>
  <c r="I224" i="36" s="1"/>
  <c r="U223" i="36"/>
  <c r="J223" i="36"/>
  <c r="I223" i="36" s="1"/>
  <c r="J222" i="36"/>
  <c r="I222" i="36" s="1"/>
  <c r="U221" i="36"/>
  <c r="J221" i="36"/>
  <c r="I221" i="36" s="1"/>
  <c r="J220" i="36"/>
  <c r="I220" i="36" s="1"/>
  <c r="U219" i="36"/>
  <c r="J219" i="36"/>
  <c r="I219" i="36" s="1"/>
  <c r="J218" i="36"/>
  <c r="I218" i="36" s="1"/>
  <c r="U217" i="36"/>
  <c r="J217" i="36"/>
  <c r="I217" i="36" s="1"/>
  <c r="J216" i="36"/>
  <c r="I216" i="36" s="1"/>
  <c r="U215" i="36"/>
  <c r="J215" i="36"/>
  <c r="I215" i="36" s="1"/>
  <c r="J214" i="36"/>
  <c r="I214" i="36" s="1"/>
  <c r="U213" i="36"/>
  <c r="J213" i="36"/>
  <c r="I213" i="36" s="1"/>
  <c r="J212" i="36"/>
  <c r="I212" i="36" s="1"/>
  <c r="U211" i="36"/>
  <c r="J211" i="36"/>
  <c r="I211" i="36" s="1"/>
  <c r="J210" i="36"/>
  <c r="I210" i="36" s="1"/>
  <c r="U209" i="36"/>
  <c r="J209" i="36"/>
  <c r="I209" i="36" s="1"/>
  <c r="J208" i="36"/>
  <c r="I208" i="36" s="1"/>
  <c r="U207" i="36"/>
  <c r="J207" i="36"/>
  <c r="I207" i="36" s="1"/>
  <c r="J206" i="36"/>
  <c r="I206" i="36" s="1"/>
  <c r="U205" i="36"/>
  <c r="J205" i="36"/>
  <c r="I205" i="36" s="1"/>
  <c r="J204" i="36"/>
  <c r="I204" i="36" s="1"/>
  <c r="U203" i="36"/>
  <c r="J203" i="36"/>
  <c r="I203" i="36" s="1"/>
  <c r="J202" i="36"/>
  <c r="I202" i="36" s="1"/>
  <c r="U201" i="36"/>
  <c r="J201" i="36"/>
  <c r="I201" i="36" s="1"/>
  <c r="J200" i="36"/>
  <c r="I200" i="36" s="1"/>
  <c r="U199" i="36"/>
  <c r="J199" i="36"/>
  <c r="I199" i="36" s="1"/>
  <c r="J198" i="36"/>
  <c r="I198" i="36" s="1"/>
  <c r="U197" i="36"/>
  <c r="J197" i="36"/>
  <c r="I197" i="36" s="1"/>
  <c r="J196" i="36"/>
  <c r="I196" i="36" s="1"/>
  <c r="U195" i="36"/>
  <c r="J195" i="36"/>
  <c r="I195" i="36" s="1"/>
  <c r="J194" i="36"/>
  <c r="I194" i="36" s="1"/>
  <c r="U193" i="36"/>
  <c r="J193" i="36"/>
  <c r="I193" i="36" s="1"/>
  <c r="J192" i="36"/>
  <c r="I192" i="36" s="1"/>
  <c r="U191" i="36"/>
  <c r="J191" i="36"/>
  <c r="I191" i="36" s="1"/>
  <c r="J190" i="36"/>
  <c r="I190" i="36" s="1"/>
  <c r="U189" i="36"/>
  <c r="J189" i="36"/>
  <c r="I189" i="36" s="1"/>
  <c r="J188" i="36"/>
  <c r="I188" i="36" s="1"/>
  <c r="U187" i="36"/>
  <c r="J187" i="36"/>
  <c r="I187" i="36" s="1"/>
  <c r="J186" i="36"/>
  <c r="I186" i="36" s="1"/>
  <c r="U185" i="36"/>
  <c r="J185" i="36"/>
  <c r="I185" i="36" s="1"/>
  <c r="J184" i="36"/>
  <c r="I184" i="36" s="1"/>
  <c r="U183" i="36"/>
  <c r="J183" i="36"/>
  <c r="I183" i="36" s="1"/>
  <c r="J182" i="36"/>
  <c r="I182" i="36" s="1"/>
  <c r="U181" i="36"/>
  <c r="J181" i="36"/>
  <c r="I181" i="36" s="1"/>
  <c r="J180" i="36"/>
  <c r="I180" i="36" s="1"/>
  <c r="U179" i="36"/>
  <c r="J179" i="36"/>
  <c r="I179" i="36" s="1"/>
  <c r="J178" i="36"/>
  <c r="I178" i="36" s="1"/>
  <c r="U177" i="36"/>
  <c r="J177" i="36"/>
  <c r="I177" i="36" s="1"/>
  <c r="J176" i="36"/>
  <c r="I176" i="36" s="1"/>
  <c r="U175" i="36"/>
  <c r="J175" i="36"/>
  <c r="I175" i="36" s="1"/>
  <c r="J174" i="36"/>
  <c r="I174" i="36" s="1"/>
  <c r="J173" i="36"/>
  <c r="I173" i="36" s="1"/>
  <c r="J172" i="36"/>
  <c r="I172" i="36" s="1"/>
  <c r="U171" i="36"/>
  <c r="J171" i="36"/>
  <c r="I171" i="36" s="1"/>
  <c r="J170" i="36"/>
  <c r="I170" i="36" s="1"/>
  <c r="U169" i="36"/>
  <c r="J169" i="36"/>
  <c r="I169" i="36" s="1"/>
  <c r="J168" i="36"/>
  <c r="I168" i="36" s="1"/>
  <c r="U167" i="36"/>
  <c r="J167" i="36"/>
  <c r="I167" i="36" s="1"/>
  <c r="J166" i="36"/>
  <c r="I166" i="36" s="1"/>
  <c r="U165" i="36"/>
  <c r="J165" i="36"/>
  <c r="I165" i="36" s="1"/>
  <c r="J164" i="36"/>
  <c r="I164" i="36" s="1"/>
  <c r="U163" i="36"/>
  <c r="J163" i="36"/>
  <c r="I163" i="36" s="1"/>
  <c r="J162" i="36"/>
  <c r="I162" i="36" s="1"/>
  <c r="U161" i="36"/>
  <c r="J161" i="36"/>
  <c r="I161" i="36" s="1"/>
  <c r="J160" i="36"/>
  <c r="I160" i="36" s="1"/>
  <c r="U159" i="36"/>
  <c r="J159" i="36"/>
  <c r="I159" i="36" s="1"/>
  <c r="J158" i="36"/>
  <c r="I158" i="36" s="1"/>
  <c r="U157" i="36"/>
  <c r="J157" i="36"/>
  <c r="I157" i="36" s="1"/>
  <c r="J156" i="36"/>
  <c r="I156" i="36" s="1"/>
  <c r="U155" i="36"/>
  <c r="J155" i="36"/>
  <c r="I155" i="36" s="1"/>
  <c r="J154" i="36"/>
  <c r="I154" i="36" s="1"/>
  <c r="U153" i="36"/>
  <c r="J153" i="36"/>
  <c r="I153" i="36" s="1"/>
  <c r="J152" i="36"/>
  <c r="I152" i="36" s="1"/>
  <c r="U151" i="36"/>
  <c r="J151" i="36"/>
  <c r="I151" i="36" s="1"/>
  <c r="J150" i="36"/>
  <c r="I150" i="36" s="1"/>
  <c r="U149" i="36"/>
  <c r="J149" i="36"/>
  <c r="I149" i="36" s="1"/>
  <c r="J148" i="36"/>
  <c r="I148" i="36" s="1"/>
  <c r="U147" i="36"/>
  <c r="J147" i="36"/>
  <c r="I147" i="36" s="1"/>
  <c r="J146" i="36"/>
  <c r="I146" i="36" s="1"/>
  <c r="U145" i="36"/>
  <c r="J145" i="36"/>
  <c r="I145" i="36" s="1"/>
  <c r="J144" i="36"/>
  <c r="I144" i="36" s="1"/>
  <c r="U143" i="36"/>
  <c r="J143" i="36"/>
  <c r="I143" i="36" s="1"/>
  <c r="J142" i="36"/>
  <c r="I142" i="36" s="1"/>
  <c r="U141" i="36"/>
  <c r="J141" i="36"/>
  <c r="I141" i="36" s="1"/>
  <c r="J140" i="36"/>
  <c r="I140" i="36" s="1"/>
  <c r="U139" i="36"/>
  <c r="J139" i="36"/>
  <c r="I139" i="36" s="1"/>
  <c r="J138" i="36"/>
  <c r="I138" i="36" s="1"/>
  <c r="U137" i="36"/>
  <c r="J137" i="36"/>
  <c r="I137" i="36" s="1"/>
  <c r="J136" i="36"/>
  <c r="I136" i="36" s="1"/>
  <c r="U135" i="36"/>
  <c r="J135" i="36"/>
  <c r="I135" i="36" s="1"/>
  <c r="J134" i="36"/>
  <c r="I134" i="36" s="1"/>
  <c r="U133" i="36"/>
  <c r="J133" i="36"/>
  <c r="I133" i="36" s="1"/>
  <c r="G133" i="36"/>
  <c r="G134" i="36" s="1"/>
  <c r="G135" i="36" s="1"/>
  <c r="G136" i="36" s="1"/>
  <c r="G137" i="36" s="1"/>
  <c r="G138" i="36" s="1"/>
  <c r="G139" i="36" s="1"/>
  <c r="G140" i="36" s="1"/>
  <c r="G141" i="36" s="1"/>
  <c r="G142" i="36" s="1"/>
  <c r="G143" i="36" s="1"/>
  <c r="G144" i="36" s="1"/>
  <c r="G145" i="36" s="1"/>
  <c r="G146" i="36" s="1"/>
  <c r="G147" i="36" s="1"/>
  <c r="G148" i="36" s="1"/>
  <c r="G149" i="36" s="1"/>
  <c r="G150" i="36" s="1"/>
  <c r="G151" i="36" s="1"/>
  <c r="G152" i="36" s="1"/>
  <c r="G153" i="36" s="1"/>
  <c r="G154" i="36" s="1"/>
  <c r="G155" i="36" s="1"/>
  <c r="G156" i="36" s="1"/>
  <c r="G157" i="36" s="1"/>
  <c r="G158" i="36" s="1"/>
  <c r="G159" i="36" s="1"/>
  <c r="G160" i="36" s="1"/>
  <c r="G161" i="36" s="1"/>
  <c r="G162" i="36" s="1"/>
  <c r="G163" i="36" s="1"/>
  <c r="G164" i="36" s="1"/>
  <c r="G165" i="36" s="1"/>
  <c r="G166" i="36" s="1"/>
  <c r="G167" i="36" s="1"/>
  <c r="G168" i="36" s="1"/>
  <c r="G169" i="36" s="1"/>
  <c r="G170" i="36" s="1"/>
  <c r="G171" i="36" s="1"/>
  <c r="G172" i="36" s="1"/>
  <c r="G173" i="36" s="1"/>
  <c r="G174" i="36" s="1"/>
  <c r="J132" i="36"/>
  <c r="I132" i="36" s="1"/>
  <c r="L132" i="36" s="1"/>
  <c r="U131" i="36"/>
  <c r="J131" i="36"/>
  <c r="I131" i="36" s="1"/>
  <c r="G131" i="36"/>
  <c r="J130" i="36"/>
  <c r="I130" i="36" s="1"/>
  <c r="L130" i="36" s="1"/>
  <c r="P130" i="36" s="1"/>
  <c r="U129" i="36"/>
  <c r="J129" i="36"/>
  <c r="I129" i="36" s="1"/>
  <c r="G129" i="36"/>
  <c r="J128" i="36"/>
  <c r="I128" i="36" s="1"/>
  <c r="L128" i="36" s="1"/>
  <c r="U127" i="36"/>
  <c r="J127" i="36"/>
  <c r="I127" i="36" s="1"/>
  <c r="G127" i="36"/>
  <c r="J126" i="36"/>
  <c r="I126" i="36" s="1"/>
  <c r="L126" i="36" s="1"/>
  <c r="P126" i="36" s="1"/>
  <c r="U125" i="36"/>
  <c r="J125" i="36"/>
  <c r="I125" i="36" s="1"/>
  <c r="G125" i="36"/>
  <c r="J124" i="36"/>
  <c r="I124" i="36" s="1"/>
  <c r="L124" i="36" s="1"/>
  <c r="U123" i="36"/>
  <c r="J123" i="36"/>
  <c r="I123" i="36" s="1"/>
  <c r="G123" i="36"/>
  <c r="J122" i="36"/>
  <c r="I122" i="36" s="1"/>
  <c r="L122" i="36" s="1"/>
  <c r="U121" i="36"/>
  <c r="J121" i="36"/>
  <c r="I121" i="36" s="1"/>
  <c r="G121" i="36"/>
  <c r="J120" i="36"/>
  <c r="I120" i="36" s="1"/>
  <c r="L120" i="36" s="1"/>
  <c r="U119" i="36"/>
  <c r="J119" i="36"/>
  <c r="I119" i="36" s="1"/>
  <c r="G119" i="36"/>
  <c r="J118" i="36"/>
  <c r="I118" i="36" s="1"/>
  <c r="L118" i="36" s="1"/>
  <c r="U117" i="36"/>
  <c r="J117" i="36"/>
  <c r="I117" i="36" s="1"/>
  <c r="G117" i="36"/>
  <c r="J116" i="36"/>
  <c r="I116" i="36" s="1"/>
  <c r="L116" i="36" s="1"/>
  <c r="U115" i="36"/>
  <c r="J115" i="36"/>
  <c r="I115" i="36" s="1"/>
  <c r="G115" i="36"/>
  <c r="J114" i="36"/>
  <c r="I114" i="36" s="1"/>
  <c r="L114" i="36" s="1"/>
  <c r="U113" i="36"/>
  <c r="J113" i="36"/>
  <c r="I113" i="36" s="1"/>
  <c r="G113" i="36"/>
  <c r="J112" i="36"/>
  <c r="I112" i="36" s="1"/>
  <c r="L112" i="36" s="1"/>
  <c r="U111" i="36"/>
  <c r="J111" i="36"/>
  <c r="I111" i="36" s="1"/>
  <c r="G111" i="36"/>
  <c r="J110" i="36"/>
  <c r="I110" i="36" s="1"/>
  <c r="L110" i="36" s="1"/>
  <c r="U109" i="36"/>
  <c r="I109" i="36"/>
  <c r="L109" i="36" s="1"/>
  <c r="P109" i="36" s="1"/>
  <c r="I108" i="36"/>
  <c r="L108" i="36" s="1"/>
  <c r="U107" i="36"/>
  <c r="J107" i="36"/>
  <c r="I107" i="36" s="1"/>
  <c r="G107" i="36"/>
  <c r="J106" i="36"/>
  <c r="I106" i="36" s="1"/>
  <c r="L106" i="36" s="1"/>
  <c r="U105" i="36"/>
  <c r="J105" i="36"/>
  <c r="I105" i="36" s="1"/>
  <c r="G105" i="36"/>
  <c r="J104" i="36"/>
  <c r="I104" i="36" s="1"/>
  <c r="L104" i="36" s="1"/>
  <c r="U103" i="36"/>
  <c r="J103" i="36"/>
  <c r="I103" i="36" s="1"/>
  <c r="G103" i="36"/>
  <c r="J102" i="36"/>
  <c r="I102" i="36" s="1"/>
  <c r="L102" i="36" s="1"/>
  <c r="U101" i="36"/>
  <c r="J101" i="36"/>
  <c r="I101" i="36" s="1"/>
  <c r="G101" i="36"/>
  <c r="J100" i="36"/>
  <c r="I100" i="36" s="1"/>
  <c r="L100" i="36" s="1"/>
  <c r="U99" i="36"/>
  <c r="J99" i="36"/>
  <c r="I99" i="36" s="1"/>
  <c r="G99" i="36"/>
  <c r="J98" i="36"/>
  <c r="I98" i="36" s="1"/>
  <c r="L98" i="36" s="1"/>
  <c r="U97" i="36"/>
  <c r="J97" i="36"/>
  <c r="I97" i="36" s="1"/>
  <c r="G97" i="36"/>
  <c r="J96" i="36"/>
  <c r="I96" i="36" s="1"/>
  <c r="L96" i="36" s="1"/>
  <c r="U95" i="36"/>
  <c r="J95" i="36"/>
  <c r="I95" i="36" s="1"/>
  <c r="G95" i="36"/>
  <c r="J94" i="36"/>
  <c r="I94" i="36" s="1"/>
  <c r="L94" i="36" s="1"/>
  <c r="U93" i="36"/>
  <c r="J93" i="36"/>
  <c r="I93" i="36" s="1"/>
  <c r="G93" i="36"/>
  <c r="J92" i="36"/>
  <c r="I92" i="36" s="1"/>
  <c r="L92" i="36" s="1"/>
  <c r="U91" i="36"/>
  <c r="J91" i="36"/>
  <c r="I91" i="36" s="1"/>
  <c r="G91" i="36"/>
  <c r="J90" i="36"/>
  <c r="I90" i="36" s="1"/>
  <c r="L90" i="36" s="1"/>
  <c r="U89" i="36"/>
  <c r="J89" i="36"/>
  <c r="I89" i="36" s="1"/>
  <c r="G89" i="36"/>
  <c r="J88" i="36"/>
  <c r="I88" i="36" s="1"/>
  <c r="L88" i="36" s="1"/>
  <c r="U87" i="36"/>
  <c r="J87" i="36"/>
  <c r="I87" i="36" s="1"/>
  <c r="G87" i="36"/>
  <c r="J86" i="36"/>
  <c r="I86" i="36" s="1"/>
  <c r="L86" i="36" s="1"/>
  <c r="U85" i="36"/>
  <c r="J85" i="36"/>
  <c r="I85" i="36" s="1"/>
  <c r="G85" i="36"/>
  <c r="J84" i="36"/>
  <c r="I84" i="36" s="1"/>
  <c r="L84" i="36" s="1"/>
  <c r="U83" i="36"/>
  <c r="J83" i="36"/>
  <c r="I83" i="36" s="1"/>
  <c r="G83" i="36"/>
  <c r="J82" i="36"/>
  <c r="I82" i="36" s="1"/>
  <c r="L82" i="36" s="1"/>
  <c r="U81" i="36"/>
  <c r="J81" i="36"/>
  <c r="I81" i="36" s="1"/>
  <c r="G81" i="36"/>
  <c r="J80" i="36"/>
  <c r="I80" i="36" s="1"/>
  <c r="L80" i="36" s="1"/>
  <c r="U79" i="36"/>
  <c r="J79" i="36"/>
  <c r="I79" i="36" s="1"/>
  <c r="G79" i="36"/>
  <c r="J78" i="36"/>
  <c r="I78" i="36" s="1"/>
  <c r="L78" i="36" s="1"/>
  <c r="P78" i="36" s="1"/>
  <c r="U77" i="36"/>
  <c r="J77" i="36"/>
  <c r="I77" i="36" s="1"/>
  <c r="G77" i="36"/>
  <c r="J76" i="36"/>
  <c r="I76" i="36" s="1"/>
  <c r="L76" i="36" s="1"/>
  <c r="U75" i="36"/>
  <c r="J75" i="36"/>
  <c r="I75" i="36" s="1"/>
  <c r="G75" i="36"/>
  <c r="J74" i="36"/>
  <c r="I74" i="36" s="1"/>
  <c r="L74" i="36" s="1"/>
  <c r="P74" i="36" s="1"/>
  <c r="U73" i="36"/>
  <c r="J73" i="36"/>
  <c r="I73" i="36" s="1"/>
  <c r="G73" i="36"/>
  <c r="J72" i="36"/>
  <c r="I72" i="36" s="1"/>
  <c r="L72" i="36" s="1"/>
  <c r="P72" i="36" s="1"/>
  <c r="U71" i="36"/>
  <c r="J71" i="36"/>
  <c r="I71" i="36" s="1"/>
  <c r="G71" i="36"/>
  <c r="J70" i="36"/>
  <c r="I70" i="36" s="1"/>
  <c r="L70" i="36" s="1"/>
  <c r="U69" i="36"/>
  <c r="J69" i="36"/>
  <c r="I69" i="36" s="1"/>
  <c r="G69" i="36"/>
  <c r="J68" i="36"/>
  <c r="I68" i="36" s="1"/>
  <c r="L68" i="36" s="1"/>
  <c r="U67" i="36"/>
  <c r="J67" i="36"/>
  <c r="I67" i="36" s="1"/>
  <c r="G67" i="36"/>
  <c r="J66" i="36"/>
  <c r="I66" i="36" s="1"/>
  <c r="L66" i="36" s="1"/>
  <c r="U65" i="36"/>
  <c r="J65" i="36"/>
  <c r="I65" i="36" s="1"/>
  <c r="G65" i="36"/>
  <c r="J64" i="36"/>
  <c r="I64" i="36" s="1"/>
  <c r="L64" i="36" s="1"/>
  <c r="P64" i="36" s="1"/>
  <c r="U63" i="36"/>
  <c r="J63" i="36"/>
  <c r="I63" i="36" s="1"/>
  <c r="G63" i="36"/>
  <c r="J62" i="36"/>
  <c r="I62" i="36" s="1"/>
  <c r="L62" i="36" s="1"/>
  <c r="U61" i="36"/>
  <c r="J61" i="36"/>
  <c r="I61" i="36" s="1"/>
  <c r="G61" i="36"/>
  <c r="J60" i="36"/>
  <c r="I60" i="36" s="1"/>
  <c r="L60" i="36" s="1"/>
  <c r="J59" i="36"/>
  <c r="I59" i="36" s="1"/>
  <c r="G59" i="36"/>
  <c r="J58" i="36"/>
  <c r="I58" i="36" s="1"/>
  <c r="L58" i="36" s="1"/>
  <c r="J57" i="36"/>
  <c r="I57" i="36" s="1"/>
  <c r="G57" i="36"/>
  <c r="J56" i="36"/>
  <c r="I56" i="36" s="1"/>
  <c r="L56" i="36" s="1"/>
  <c r="J55" i="36"/>
  <c r="I55" i="36" s="1"/>
  <c r="G55" i="36"/>
  <c r="J54" i="36"/>
  <c r="I54" i="36" s="1"/>
  <c r="L54" i="36" s="1"/>
  <c r="J53" i="36"/>
  <c r="I53" i="36" s="1"/>
  <c r="G53" i="36"/>
  <c r="J52" i="36"/>
  <c r="I52" i="36" s="1"/>
  <c r="L52" i="36" s="1"/>
  <c r="J51" i="36"/>
  <c r="I51" i="36" s="1"/>
  <c r="G51" i="36"/>
  <c r="J50" i="36"/>
  <c r="I50" i="36" s="1"/>
  <c r="L50" i="36" s="1"/>
  <c r="P50" i="36" s="1"/>
  <c r="J49" i="36"/>
  <c r="I49" i="36" s="1"/>
  <c r="G49" i="36"/>
  <c r="J48" i="36"/>
  <c r="I48" i="36" s="1"/>
  <c r="L48" i="36" s="1"/>
  <c r="J47" i="36"/>
  <c r="I47" i="36" s="1"/>
  <c r="G47" i="36"/>
  <c r="J46" i="36"/>
  <c r="I46" i="36" s="1"/>
  <c r="L46" i="36" s="1"/>
  <c r="J45" i="36"/>
  <c r="I45" i="36" s="1"/>
  <c r="G45" i="36"/>
  <c r="J44" i="36"/>
  <c r="I44" i="36" s="1"/>
  <c r="L44" i="36" s="1"/>
  <c r="J43" i="36"/>
  <c r="I43" i="36" s="1"/>
  <c r="G43" i="36"/>
  <c r="J42" i="36"/>
  <c r="I42" i="36" s="1"/>
  <c r="L42" i="36" s="1"/>
  <c r="P42" i="36" s="1"/>
  <c r="J41" i="36"/>
  <c r="I41" i="36" s="1"/>
  <c r="G41" i="36"/>
  <c r="J40" i="36"/>
  <c r="I40" i="36" s="1"/>
  <c r="L40" i="36" s="1"/>
  <c r="J39" i="36"/>
  <c r="I39" i="36" s="1"/>
  <c r="G39" i="36"/>
  <c r="J38" i="36"/>
  <c r="I38" i="36" s="1"/>
  <c r="L38" i="36" s="1"/>
  <c r="J37" i="36"/>
  <c r="I37" i="36" s="1"/>
  <c r="L37" i="36" s="1"/>
  <c r="P37" i="36" s="1"/>
  <c r="J36" i="36"/>
  <c r="I36" i="36" s="1"/>
  <c r="L36" i="36" s="1"/>
  <c r="J35" i="36"/>
  <c r="I35" i="36" s="1"/>
  <c r="G35" i="36"/>
  <c r="J34" i="36"/>
  <c r="I34" i="36" s="1"/>
  <c r="L34" i="36" s="1"/>
  <c r="P34" i="36" s="1"/>
  <c r="J33" i="36"/>
  <c r="I33" i="36" s="1"/>
  <c r="G33" i="36"/>
  <c r="J32" i="36"/>
  <c r="I32" i="36" s="1"/>
  <c r="L32" i="36" s="1"/>
  <c r="J31" i="36"/>
  <c r="I31" i="36" s="1"/>
  <c r="G31" i="36"/>
  <c r="J30" i="36"/>
  <c r="I30" i="36" s="1"/>
  <c r="L30" i="36" s="1"/>
  <c r="J29" i="36"/>
  <c r="I29" i="36" s="1"/>
  <c r="G29" i="36"/>
  <c r="J28" i="36"/>
  <c r="I28" i="36" s="1"/>
  <c r="L28" i="36" s="1"/>
  <c r="J27" i="36"/>
  <c r="I27" i="36" s="1"/>
  <c r="G27" i="36"/>
  <c r="J26" i="36"/>
  <c r="I26" i="36" s="1"/>
  <c r="L26" i="36" s="1"/>
  <c r="J25" i="36"/>
  <c r="I25" i="36" s="1"/>
  <c r="G25" i="36"/>
  <c r="J24" i="36"/>
  <c r="I24" i="36" s="1"/>
  <c r="L24" i="36" s="1"/>
  <c r="J23" i="36"/>
  <c r="I23" i="36" s="1"/>
  <c r="J22" i="36"/>
  <c r="I22" i="36" s="1"/>
  <c r="G22" i="36"/>
  <c r="G23" i="36" s="1"/>
  <c r="J21" i="36"/>
  <c r="I21" i="36" s="1"/>
  <c r="L21" i="36" s="1"/>
  <c r="P21" i="36" s="1"/>
  <c r="J20" i="36"/>
  <c r="I20" i="36" s="1"/>
  <c r="G20" i="36"/>
  <c r="J19" i="36"/>
  <c r="I19" i="36" s="1"/>
  <c r="L19" i="36" s="1"/>
  <c r="P19" i="36" s="1"/>
  <c r="J18" i="36"/>
  <c r="I18" i="36" s="1"/>
  <c r="L18" i="36" s="1"/>
  <c r="P18" i="36" s="1"/>
  <c r="J17" i="36"/>
  <c r="I17" i="36" s="1"/>
  <c r="L17" i="36" s="1"/>
  <c r="P17" i="36" s="1"/>
  <c r="J16" i="36"/>
  <c r="I16" i="36" s="1"/>
  <c r="L16" i="36" s="1"/>
  <c r="P16" i="36" s="1"/>
  <c r="J15" i="36"/>
  <c r="I15" i="36" s="1"/>
  <c r="L15" i="36" s="1"/>
  <c r="P15" i="36" s="1"/>
  <c r="J14" i="36"/>
  <c r="I14" i="36" s="1"/>
  <c r="G14" i="36"/>
  <c r="J13" i="36"/>
  <c r="I13" i="36" s="1"/>
  <c r="L13" i="36" s="1"/>
  <c r="P13" i="36" s="1"/>
  <c r="J12" i="36"/>
  <c r="I12" i="36" s="1"/>
  <c r="G12" i="36"/>
  <c r="J11" i="36"/>
  <c r="I11" i="36" s="1"/>
  <c r="L11" i="36" s="1"/>
  <c r="P11" i="36" s="1"/>
  <c r="J10" i="36"/>
  <c r="I10" i="36" s="1"/>
  <c r="L10" i="36" s="1"/>
  <c r="P10" i="36" s="1"/>
  <c r="G10" i="36"/>
  <c r="J9" i="36"/>
  <c r="I9" i="36" s="1"/>
  <c r="L9" i="36" s="1"/>
  <c r="P9" i="36" s="1"/>
  <c r="J8" i="36"/>
  <c r="I8" i="36" s="1"/>
  <c r="G8" i="36"/>
  <c r="J7" i="36"/>
  <c r="I7" i="36" s="1"/>
  <c r="L7" i="36" s="1"/>
  <c r="P7" i="36" s="1"/>
  <c r="J6" i="36"/>
  <c r="I6" i="36" s="1"/>
  <c r="G6" i="36"/>
  <c r="J5" i="36"/>
  <c r="I5" i="36" s="1"/>
  <c r="L5" i="36" s="1"/>
  <c r="P5" i="36" s="1"/>
  <c r="T1" i="36"/>
  <c r="M451" i="36" l="1"/>
  <c r="U451" i="36" s="1"/>
  <c r="N451" i="36"/>
  <c r="O451" i="36"/>
  <c r="L174" i="36"/>
  <c r="P174" i="36" s="1"/>
  <c r="M454" i="36"/>
  <c r="U454" i="36" s="1"/>
  <c r="N454" i="36"/>
  <c r="O454" i="36"/>
  <c r="P454" i="36"/>
  <c r="M382" i="36"/>
  <c r="U382" i="36" s="1"/>
  <c r="N382" i="36"/>
  <c r="P459" i="36"/>
  <c r="O459" i="36"/>
  <c r="N459" i="36"/>
  <c r="M459" i="36"/>
  <c r="U459" i="36" s="1"/>
  <c r="N461" i="36"/>
  <c r="O461" i="36"/>
  <c r="M461" i="36"/>
  <c r="U461" i="36" s="1"/>
  <c r="P461" i="36"/>
  <c r="P464" i="36"/>
  <c r="Q464" i="36" s="1"/>
  <c r="M464" i="36"/>
  <c r="O464" i="36"/>
  <c r="M449" i="36"/>
  <c r="L457" i="36"/>
  <c r="R480" i="36"/>
  <c r="L113" i="36"/>
  <c r="P113" i="36" s="1"/>
  <c r="O403" i="36"/>
  <c r="L144" i="36"/>
  <c r="M144" i="36" s="1"/>
  <c r="U144" i="36" s="1"/>
  <c r="L51" i="36"/>
  <c r="P51" i="36" s="1"/>
  <c r="L65" i="36"/>
  <c r="P65" i="36" s="1"/>
  <c r="Q64" i="36" s="1"/>
  <c r="L107" i="36"/>
  <c r="P107" i="36" s="1"/>
  <c r="L145" i="36"/>
  <c r="P145" i="36" s="1"/>
  <c r="L67" i="36"/>
  <c r="P67" i="36" s="1"/>
  <c r="L83" i="36"/>
  <c r="P83" i="36" s="1"/>
  <c r="L87" i="36"/>
  <c r="P87" i="36" s="1"/>
  <c r="L59" i="36"/>
  <c r="P59" i="36" s="1"/>
  <c r="L111" i="36"/>
  <c r="N110" i="36" s="1"/>
  <c r="L115" i="36"/>
  <c r="P115" i="36" s="1"/>
  <c r="L155" i="36"/>
  <c r="L127" i="36"/>
  <c r="R126" i="36" s="1"/>
  <c r="L150" i="36"/>
  <c r="P150" i="36" s="1"/>
  <c r="R453" i="36"/>
  <c r="L6" i="36"/>
  <c r="P6" i="36" s="1"/>
  <c r="Q5" i="36" s="1"/>
  <c r="L136" i="36"/>
  <c r="N136" i="36" s="1"/>
  <c r="L157" i="36"/>
  <c r="L137" i="36"/>
  <c r="P137" i="36" s="1"/>
  <c r="L152" i="36"/>
  <c r="L22" i="36"/>
  <c r="P22" i="36" s="1"/>
  <c r="L91" i="36"/>
  <c r="P91" i="36" s="1"/>
  <c r="L164" i="36"/>
  <c r="L29" i="36"/>
  <c r="P29" i="36" s="1"/>
  <c r="L63" i="36"/>
  <c r="P63" i="36" s="1"/>
  <c r="L69" i="36"/>
  <c r="P69" i="36" s="1"/>
  <c r="L93" i="36"/>
  <c r="P93" i="36" s="1"/>
  <c r="L142" i="36"/>
  <c r="P142" i="36" s="1"/>
  <c r="L146" i="36"/>
  <c r="L156" i="36"/>
  <c r="R335" i="36"/>
  <c r="L165" i="36"/>
  <c r="P165" i="36" s="1"/>
  <c r="R405" i="36"/>
  <c r="L43" i="36"/>
  <c r="P43" i="36" s="1"/>
  <c r="Q42" i="36" s="1"/>
  <c r="L138" i="36"/>
  <c r="L143" i="36"/>
  <c r="P143" i="36" s="1"/>
  <c r="L161" i="36"/>
  <c r="P161" i="36" s="1"/>
  <c r="M90" i="36"/>
  <c r="U90" i="36" s="1"/>
  <c r="L134" i="36"/>
  <c r="L139" i="36"/>
  <c r="P139" i="36" s="1"/>
  <c r="L171" i="36"/>
  <c r="P171" i="36" s="1"/>
  <c r="L77" i="36"/>
  <c r="P77" i="36" s="1"/>
  <c r="L148" i="36"/>
  <c r="L153" i="36"/>
  <c r="P153" i="36" s="1"/>
  <c r="L162" i="36"/>
  <c r="Q365" i="36"/>
  <c r="L53" i="36"/>
  <c r="P53" i="36" s="1"/>
  <c r="L61" i="36"/>
  <c r="P61" i="36" s="1"/>
  <c r="L140" i="36"/>
  <c r="L149" i="36"/>
  <c r="P149" i="36" s="1"/>
  <c r="L158" i="36"/>
  <c r="L172" i="36"/>
  <c r="R382" i="36"/>
  <c r="L125" i="36"/>
  <c r="P125" i="36" s="1"/>
  <c r="L27" i="36"/>
  <c r="P27" i="36" s="1"/>
  <c r="L8" i="36"/>
  <c r="P8" i="36" s="1"/>
  <c r="Q7" i="36" s="1"/>
  <c r="L45" i="36"/>
  <c r="P45" i="36" s="1"/>
  <c r="L103" i="36"/>
  <c r="P103" i="36" s="1"/>
  <c r="L117" i="36"/>
  <c r="P117" i="36" s="1"/>
  <c r="L154" i="36"/>
  <c r="N376" i="36"/>
  <c r="O445" i="36"/>
  <c r="P108" i="36"/>
  <c r="Q108" i="36" s="1"/>
  <c r="O108" i="36"/>
  <c r="O421" i="36"/>
  <c r="P448" i="36"/>
  <c r="N447" i="36"/>
  <c r="P98" i="36"/>
  <c r="P413" i="36"/>
  <c r="Q413" i="36" s="1"/>
  <c r="M413" i="36"/>
  <c r="U413" i="36" s="1"/>
  <c r="R164" i="36"/>
  <c r="N114" i="36"/>
  <c r="L170" i="36"/>
  <c r="L14" i="36"/>
  <c r="P14" i="36" s="1"/>
  <c r="Q13" i="36" s="1"/>
  <c r="L25" i="36"/>
  <c r="P25" i="36" s="1"/>
  <c r="L41" i="36"/>
  <c r="P41" i="36" s="1"/>
  <c r="L101" i="36"/>
  <c r="P101" i="36" s="1"/>
  <c r="L123" i="36"/>
  <c r="P123" i="36" s="1"/>
  <c r="L129" i="36"/>
  <c r="P129" i="36" s="1"/>
  <c r="G175" i="36"/>
  <c r="G176" i="36" s="1"/>
  <c r="G177" i="36" s="1"/>
  <c r="G178" i="36" s="1"/>
  <c r="G179" i="36" s="1"/>
  <c r="G180" i="36" s="1"/>
  <c r="G181" i="36" s="1"/>
  <c r="G182" i="36" s="1"/>
  <c r="G183" i="36" s="1"/>
  <c r="O468" i="36"/>
  <c r="L33" i="36"/>
  <c r="P33" i="36" s="1"/>
  <c r="L167" i="36"/>
  <c r="P167" i="36" s="1"/>
  <c r="N367" i="36"/>
  <c r="L73" i="36"/>
  <c r="M72" i="36" s="1"/>
  <c r="U72" i="36" s="1"/>
  <c r="L99" i="36"/>
  <c r="P99" i="36" s="1"/>
  <c r="L121" i="36"/>
  <c r="P121" i="36" s="1"/>
  <c r="L160" i="36"/>
  <c r="P160" i="36" s="1"/>
  <c r="Q160" i="36" s="1"/>
  <c r="L12" i="36"/>
  <c r="P12" i="36" s="1"/>
  <c r="Q11" i="36" s="1"/>
  <c r="Q50" i="36"/>
  <c r="L105" i="36"/>
  <c r="R104" i="36" s="1"/>
  <c r="L168" i="36"/>
  <c r="L166" i="36"/>
  <c r="P166" i="36" s="1"/>
  <c r="L35" i="36"/>
  <c r="P35" i="36" s="1"/>
  <c r="Q34" i="36" s="1"/>
  <c r="L85" i="36"/>
  <c r="P85" i="36" s="1"/>
  <c r="O90" i="36"/>
  <c r="M351" i="36"/>
  <c r="U351" i="36" s="1"/>
  <c r="R365" i="36"/>
  <c r="R472" i="36"/>
  <c r="L20" i="36"/>
  <c r="P20" i="36" s="1"/>
  <c r="Q19" i="36" s="1"/>
  <c r="L169" i="36"/>
  <c r="P169" i="36" s="1"/>
  <c r="L173" i="36"/>
  <c r="P173" i="36" s="1"/>
  <c r="M355" i="36"/>
  <c r="U355" i="36" s="1"/>
  <c r="Q443" i="36"/>
  <c r="L71" i="36"/>
  <c r="P71" i="36" s="1"/>
  <c r="Q323" i="36"/>
  <c r="M447" i="36"/>
  <c r="U447" i="36" s="1"/>
  <c r="L163" i="36"/>
  <c r="P163" i="36" s="1"/>
  <c r="L159" i="36"/>
  <c r="P159" i="36" s="1"/>
  <c r="L147" i="36"/>
  <c r="P147" i="36" s="1"/>
  <c r="L141" i="36"/>
  <c r="O376" i="36"/>
  <c r="Q389" i="36"/>
  <c r="Q391" i="36"/>
  <c r="Q399" i="36"/>
  <c r="N421" i="36"/>
  <c r="M443" i="36"/>
  <c r="U443" i="36" s="1"/>
  <c r="N445" i="36"/>
  <c r="O443" i="36"/>
  <c r="P469" i="36"/>
  <c r="L133" i="36"/>
  <c r="M132" i="36" s="1"/>
  <c r="U132" i="36" s="1"/>
  <c r="L131" i="36"/>
  <c r="P131" i="36" s="1"/>
  <c r="Q130" i="36" s="1"/>
  <c r="P114" i="36"/>
  <c r="Q114" i="36" s="1"/>
  <c r="L97" i="36"/>
  <c r="P97" i="36" s="1"/>
  <c r="L95" i="36"/>
  <c r="P95" i="36" s="1"/>
  <c r="P90" i="36"/>
  <c r="Q90" i="36" s="1"/>
  <c r="L89" i="36"/>
  <c r="P89" i="36" s="1"/>
  <c r="R86" i="36"/>
  <c r="L81" i="36"/>
  <c r="P81" i="36" s="1"/>
  <c r="L79" i="36"/>
  <c r="P79" i="36" s="1"/>
  <c r="Q78" i="36" s="1"/>
  <c r="L75" i="36"/>
  <c r="P75" i="36" s="1"/>
  <c r="Q74" i="36" s="1"/>
  <c r="L57" i="36"/>
  <c r="R56" i="36" s="1"/>
  <c r="L49" i="36"/>
  <c r="P49" i="36" s="1"/>
  <c r="L39" i="36"/>
  <c r="P39" i="36" s="1"/>
  <c r="N24" i="36"/>
  <c r="Q15" i="36"/>
  <c r="Q9" i="36"/>
  <c r="Q17" i="36"/>
  <c r="P54" i="36"/>
  <c r="P30" i="36"/>
  <c r="P76" i="36"/>
  <c r="P46" i="36"/>
  <c r="R40" i="36"/>
  <c r="P40" i="36"/>
  <c r="O40" i="36"/>
  <c r="M110" i="36"/>
  <c r="U110" i="36" s="1"/>
  <c r="P111" i="36"/>
  <c r="P48" i="36"/>
  <c r="L55" i="36"/>
  <c r="P55" i="36" s="1"/>
  <c r="P80" i="36"/>
  <c r="P88" i="36"/>
  <c r="N88" i="36"/>
  <c r="P96" i="36"/>
  <c r="P116" i="36"/>
  <c r="Q116" i="36" s="1"/>
  <c r="R116" i="36"/>
  <c r="O116" i="36"/>
  <c r="N116" i="36"/>
  <c r="M116" i="36"/>
  <c r="U116" i="36" s="1"/>
  <c r="P134" i="36"/>
  <c r="P373" i="36"/>
  <c r="M393" i="36"/>
  <c r="U393" i="36" s="1"/>
  <c r="O393" i="36"/>
  <c r="N393" i="36"/>
  <c r="P393" i="36"/>
  <c r="Q393" i="36" s="1"/>
  <c r="R393" i="36"/>
  <c r="P484" i="36"/>
  <c r="Q484" i="36" s="1"/>
  <c r="O484" i="36"/>
  <c r="N484" i="36"/>
  <c r="M484" i="36"/>
  <c r="U484" i="36" s="1"/>
  <c r="R484" i="36"/>
  <c r="N40" i="36"/>
  <c r="M48" i="36"/>
  <c r="U48" i="36" s="1"/>
  <c r="P56" i="36"/>
  <c r="P58" i="36"/>
  <c r="P138" i="36"/>
  <c r="O138" i="36"/>
  <c r="P60" i="36"/>
  <c r="L47" i="36"/>
  <c r="P47" i="36" s="1"/>
  <c r="P28" i="36"/>
  <c r="P94" i="36"/>
  <c r="Q94" i="36" s="1"/>
  <c r="R94" i="36"/>
  <c r="M94" i="36"/>
  <c r="U94" i="36" s="1"/>
  <c r="P122" i="36"/>
  <c r="Q122" i="36" s="1"/>
  <c r="N122" i="36"/>
  <c r="M122" i="36"/>
  <c r="U122" i="36" s="1"/>
  <c r="R122" i="36"/>
  <c r="O122" i="36"/>
  <c r="O36" i="36"/>
  <c r="N36" i="36"/>
  <c r="M36" i="36"/>
  <c r="U36" i="36" s="1"/>
  <c r="P36" i="36"/>
  <c r="Q36" i="36" s="1"/>
  <c r="P38" i="36"/>
  <c r="M64" i="36"/>
  <c r="U64" i="36" s="1"/>
  <c r="P70" i="36"/>
  <c r="P84" i="36"/>
  <c r="N94" i="36"/>
  <c r="P144" i="36"/>
  <c r="M50" i="36"/>
  <c r="U50" i="36" s="1"/>
  <c r="L23" i="36"/>
  <c r="P23" i="36" s="1"/>
  <c r="R34" i="36"/>
  <c r="N34" i="36"/>
  <c r="P44" i="36"/>
  <c r="R70" i="36"/>
  <c r="O94" i="36"/>
  <c r="P128" i="36"/>
  <c r="P32" i="36"/>
  <c r="P68" i="36"/>
  <c r="P124" i="36"/>
  <c r="Q124" i="36" s="1"/>
  <c r="O124" i="36"/>
  <c r="M124" i="36"/>
  <c r="U124" i="36" s="1"/>
  <c r="R124" i="36"/>
  <c r="N124" i="36"/>
  <c r="N5" i="36"/>
  <c r="N9" i="36"/>
  <c r="U9" i="36"/>
  <c r="R9" i="36"/>
  <c r="O9" i="36"/>
  <c r="N11" i="36"/>
  <c r="N15" i="36"/>
  <c r="M15" i="36"/>
  <c r="U15" i="36" s="1"/>
  <c r="R15" i="36"/>
  <c r="O15" i="36"/>
  <c r="N17" i="36"/>
  <c r="M17" i="36"/>
  <c r="U17" i="36" s="1"/>
  <c r="R17" i="36"/>
  <c r="O17" i="36"/>
  <c r="N19" i="36"/>
  <c r="R19" i="36"/>
  <c r="O19" i="36"/>
  <c r="R24" i="36"/>
  <c r="P24" i="36"/>
  <c r="Q24" i="36" s="1"/>
  <c r="O24" i="36"/>
  <c r="P26" i="36"/>
  <c r="L31" i="36"/>
  <c r="P31" i="36" s="1"/>
  <c r="R36" i="36"/>
  <c r="O52" i="36"/>
  <c r="P52" i="36"/>
  <c r="P62" i="36"/>
  <c r="N64" i="36"/>
  <c r="R82" i="36"/>
  <c r="O82" i="36"/>
  <c r="N82" i="36"/>
  <c r="M82" i="36"/>
  <c r="U82" i="36" s="1"/>
  <c r="P82" i="36"/>
  <c r="Q82" i="36" s="1"/>
  <c r="M92" i="36"/>
  <c r="U92" i="36" s="1"/>
  <c r="R92" i="36"/>
  <c r="P92" i="36"/>
  <c r="Q92" i="36" s="1"/>
  <c r="O92" i="36"/>
  <c r="N92" i="36"/>
  <c r="N100" i="36"/>
  <c r="M100" i="36"/>
  <c r="U100" i="36" s="1"/>
  <c r="R100" i="36"/>
  <c r="P100" i="36"/>
  <c r="Q100" i="36" s="1"/>
  <c r="O100" i="36"/>
  <c r="P120" i="36"/>
  <c r="P162" i="36"/>
  <c r="P318" i="36"/>
  <c r="O317" i="36"/>
  <c r="O104" i="36"/>
  <c r="N108" i="36"/>
  <c r="M108" i="36"/>
  <c r="U108" i="36" s="1"/>
  <c r="R108" i="36"/>
  <c r="O110" i="36"/>
  <c r="L151" i="36"/>
  <c r="P316" i="36"/>
  <c r="O315" i="36"/>
  <c r="N72" i="36"/>
  <c r="P104" i="36"/>
  <c r="P110" i="36"/>
  <c r="L119" i="36"/>
  <c r="P119" i="36" s="1"/>
  <c r="N166" i="36"/>
  <c r="L338" i="36"/>
  <c r="P338" i="36" s="1"/>
  <c r="P172" i="36"/>
  <c r="P154" i="36"/>
  <c r="P156" i="36"/>
  <c r="P86" i="36"/>
  <c r="Q86" i="36" s="1"/>
  <c r="M86" i="36"/>
  <c r="U86" i="36" s="1"/>
  <c r="P102" i="36"/>
  <c r="N112" i="36"/>
  <c r="M112" i="36"/>
  <c r="U112" i="36" s="1"/>
  <c r="R112" i="36"/>
  <c r="P118" i="36"/>
  <c r="R152" i="36"/>
  <c r="P152" i="36"/>
  <c r="Q152" i="36" s="1"/>
  <c r="O152" i="36"/>
  <c r="N152" i="36"/>
  <c r="P158" i="36"/>
  <c r="O319" i="36"/>
  <c r="P320" i="36"/>
  <c r="Q319" i="36" s="1"/>
  <c r="O112" i="36"/>
  <c r="N130" i="36"/>
  <c r="P132" i="36"/>
  <c r="L135" i="36"/>
  <c r="P135" i="36" s="1"/>
  <c r="M152" i="36"/>
  <c r="U152" i="36" s="1"/>
  <c r="P66" i="36"/>
  <c r="N86" i="36"/>
  <c r="N90" i="36"/>
  <c r="R90" i="36"/>
  <c r="S90" i="36" s="1"/>
  <c r="P106" i="36"/>
  <c r="P112" i="36"/>
  <c r="Q112" i="36" s="1"/>
  <c r="M114" i="36"/>
  <c r="U114" i="36" s="1"/>
  <c r="P164" i="36"/>
  <c r="Q164" i="36" s="1"/>
  <c r="O164" i="36"/>
  <c r="P363" i="36"/>
  <c r="Q363" i="36" s="1"/>
  <c r="O363" i="36"/>
  <c r="M363" i="36"/>
  <c r="U363" i="36" s="1"/>
  <c r="R363" i="36"/>
  <c r="N363" i="36"/>
  <c r="M333" i="36"/>
  <c r="U333" i="36" s="1"/>
  <c r="R333" i="36"/>
  <c r="N333" i="36"/>
  <c r="P333" i="36"/>
  <c r="Q333" i="36" s="1"/>
  <c r="M166" i="36"/>
  <c r="U166" i="36" s="1"/>
  <c r="O333" i="36"/>
  <c r="M349" i="36"/>
  <c r="U349" i="36" s="1"/>
  <c r="N349" i="36"/>
  <c r="P350" i="36"/>
  <c r="Q349" i="36" s="1"/>
  <c r="P330" i="36"/>
  <c r="O329" i="36"/>
  <c r="N329" i="36"/>
  <c r="M329" i="36"/>
  <c r="U329" i="36" s="1"/>
  <c r="O166" i="36"/>
  <c r="M387" i="36"/>
  <c r="U387" i="36" s="1"/>
  <c r="P388" i="36"/>
  <c r="M321" i="36"/>
  <c r="U321" i="36" s="1"/>
  <c r="N321" i="36"/>
  <c r="O321" i="36"/>
  <c r="P322" i="36"/>
  <c r="Q321" i="36" s="1"/>
  <c r="P337" i="36"/>
  <c r="P340" i="36"/>
  <c r="Q339" i="36" s="1"/>
  <c r="O339" i="36"/>
  <c r="N339" i="36"/>
  <c r="R331" i="36"/>
  <c r="P331" i="36"/>
  <c r="Q331" i="36" s="1"/>
  <c r="O331" i="36"/>
  <c r="L345" i="36"/>
  <c r="P345" i="36" s="1"/>
  <c r="L358" i="36"/>
  <c r="P360" i="36"/>
  <c r="Q359" i="36" s="1"/>
  <c r="M359" i="36"/>
  <c r="U359" i="36" s="1"/>
  <c r="R379" i="36"/>
  <c r="P379" i="36"/>
  <c r="Q379" i="36" s="1"/>
  <c r="N379" i="36"/>
  <c r="M379" i="36"/>
  <c r="U379" i="36" s="1"/>
  <c r="O379" i="36"/>
  <c r="R432" i="36"/>
  <c r="P432" i="36"/>
  <c r="Q432" i="36" s="1"/>
  <c r="O432" i="36"/>
  <c r="N432" i="36"/>
  <c r="M432" i="36"/>
  <c r="U432" i="36" s="1"/>
  <c r="P476" i="36"/>
  <c r="Q476" i="36" s="1"/>
  <c r="O476" i="36"/>
  <c r="N476" i="36"/>
  <c r="M476" i="36"/>
  <c r="U476" i="36" s="1"/>
  <c r="R476" i="36"/>
  <c r="M317" i="36"/>
  <c r="U317" i="36" s="1"/>
  <c r="R317" i="36"/>
  <c r="N317" i="36"/>
  <c r="M319" i="36"/>
  <c r="U319" i="36" s="1"/>
  <c r="M331" i="36"/>
  <c r="U331" i="36" s="1"/>
  <c r="P386" i="36"/>
  <c r="N385" i="36"/>
  <c r="L313" i="36"/>
  <c r="O312" i="36" s="1"/>
  <c r="M315" i="36"/>
  <c r="U315" i="36" s="1"/>
  <c r="R315" i="36"/>
  <c r="N315" i="36"/>
  <c r="P327" i="36"/>
  <c r="N331" i="36"/>
  <c r="P356" i="36"/>
  <c r="Q355" i="36" s="1"/>
  <c r="R355" i="36"/>
  <c r="N355" i="36"/>
  <c r="O427" i="36"/>
  <c r="N427" i="36"/>
  <c r="M427" i="36"/>
  <c r="U427" i="36" s="1"/>
  <c r="R427" i="36"/>
  <c r="P427" i="36"/>
  <c r="Q427" i="36" s="1"/>
  <c r="P449" i="36"/>
  <c r="R458" i="36"/>
  <c r="P458" i="36"/>
  <c r="R325" i="36"/>
  <c r="P325" i="36"/>
  <c r="Q325" i="36" s="1"/>
  <c r="O325" i="36"/>
  <c r="N325" i="36"/>
  <c r="M325" i="36"/>
  <c r="U325" i="36" s="1"/>
  <c r="R349" i="36"/>
  <c r="P361" i="36"/>
  <c r="Q361" i="36" s="1"/>
  <c r="N361" i="36"/>
  <c r="M361" i="36"/>
  <c r="U361" i="36" s="1"/>
  <c r="R361" i="36"/>
  <c r="O361" i="36"/>
  <c r="P406" i="36"/>
  <c r="Q405" i="36" s="1"/>
  <c r="N405" i="36"/>
  <c r="M405" i="36"/>
  <c r="U405" i="36" s="1"/>
  <c r="P315" i="36"/>
  <c r="P317" i="36"/>
  <c r="R321" i="36"/>
  <c r="P335" i="36"/>
  <c r="Q335" i="36" s="1"/>
  <c r="O335" i="36"/>
  <c r="N335" i="36"/>
  <c r="M335" i="36"/>
  <c r="U335" i="36" s="1"/>
  <c r="N351" i="36"/>
  <c r="R351" i="36"/>
  <c r="P351" i="36"/>
  <c r="Q351" i="36" s="1"/>
  <c r="O351" i="36"/>
  <c r="P354" i="36"/>
  <c r="Q353" i="36" s="1"/>
  <c r="N353" i="36"/>
  <c r="O353" i="36"/>
  <c r="P369" i="36"/>
  <c r="Q369" i="36" s="1"/>
  <c r="O369" i="36"/>
  <c r="M369" i="36"/>
  <c r="U369" i="36" s="1"/>
  <c r="R369" i="36"/>
  <c r="L375" i="36"/>
  <c r="P375" i="36" s="1"/>
  <c r="P312" i="36"/>
  <c r="O323" i="36"/>
  <c r="L328" i="36"/>
  <c r="O327" i="36" s="1"/>
  <c r="P344" i="36"/>
  <c r="P347" i="36"/>
  <c r="Q347" i="36" s="1"/>
  <c r="M347" i="36"/>
  <c r="U347" i="36" s="1"/>
  <c r="R347" i="36"/>
  <c r="O347" i="36"/>
  <c r="N347" i="36"/>
  <c r="N369" i="36"/>
  <c r="O382" i="36"/>
  <c r="P382" i="36"/>
  <c r="Q382" i="36" s="1"/>
  <c r="N319" i="36"/>
  <c r="R329" i="36"/>
  <c r="M339" i="36"/>
  <c r="U339" i="36" s="1"/>
  <c r="R339" i="36"/>
  <c r="R367" i="36"/>
  <c r="P367" i="36"/>
  <c r="Q367" i="36" s="1"/>
  <c r="O367" i="36"/>
  <c r="M367" i="36"/>
  <c r="U367" i="36" s="1"/>
  <c r="N391" i="36"/>
  <c r="M391" i="36"/>
  <c r="U391" i="36" s="1"/>
  <c r="R391" i="36"/>
  <c r="O391" i="36"/>
  <c r="R399" i="36"/>
  <c r="O399" i="36"/>
  <c r="N399" i="36"/>
  <c r="M399" i="36"/>
  <c r="U399" i="36" s="1"/>
  <c r="N401" i="36"/>
  <c r="M401" i="36"/>
  <c r="U401" i="36" s="1"/>
  <c r="P401" i="36"/>
  <c r="Q401" i="36" s="1"/>
  <c r="O401" i="36"/>
  <c r="R401" i="36"/>
  <c r="N403" i="36"/>
  <c r="P407" i="36"/>
  <c r="P418" i="36"/>
  <c r="Q418" i="36" s="1"/>
  <c r="O418" i="36"/>
  <c r="N418" i="36"/>
  <c r="R418" i="36"/>
  <c r="M418" i="36"/>
  <c r="U418" i="36" s="1"/>
  <c r="P472" i="36"/>
  <c r="O472" i="36"/>
  <c r="N472" i="36"/>
  <c r="M472" i="36"/>
  <c r="U472" i="36" s="1"/>
  <c r="P480" i="36"/>
  <c r="Q480" i="36" s="1"/>
  <c r="O480" i="36"/>
  <c r="N480" i="36"/>
  <c r="M480" i="36"/>
  <c r="U480" i="36" s="1"/>
  <c r="L342" i="36"/>
  <c r="N341" i="36" s="1"/>
  <c r="P385" i="36"/>
  <c r="O385" i="36"/>
  <c r="P387" i="36"/>
  <c r="R387" i="36"/>
  <c r="O395" i="36"/>
  <c r="N395" i="36"/>
  <c r="M395" i="36"/>
  <c r="U395" i="36" s="1"/>
  <c r="P395" i="36"/>
  <c r="Q395" i="36" s="1"/>
  <c r="P397" i="36"/>
  <c r="Q397" i="36" s="1"/>
  <c r="R397" i="36"/>
  <c r="O397" i="36"/>
  <c r="N397" i="36"/>
  <c r="M397" i="36"/>
  <c r="U397" i="36" s="1"/>
  <c r="P435" i="36"/>
  <c r="P467" i="36"/>
  <c r="O466" i="36"/>
  <c r="R319" i="36"/>
  <c r="P329" i="36"/>
  <c r="O355" i="36"/>
  <c r="P357" i="36"/>
  <c r="M385" i="36"/>
  <c r="U385" i="36" s="1"/>
  <c r="R395" i="36"/>
  <c r="P478" i="36"/>
  <c r="Q478" i="36" s="1"/>
  <c r="O478" i="36"/>
  <c r="N478" i="36"/>
  <c r="M478" i="36"/>
  <c r="U478" i="36" s="1"/>
  <c r="R478" i="36"/>
  <c r="P486" i="36"/>
  <c r="Q486" i="36" s="1"/>
  <c r="O486" i="36"/>
  <c r="N486" i="36"/>
  <c r="M486" i="36"/>
  <c r="U486" i="36" s="1"/>
  <c r="R486" i="36"/>
  <c r="R323" i="36"/>
  <c r="O365" i="36"/>
  <c r="N365" i="36"/>
  <c r="P376" i="36"/>
  <c r="Q376" i="36" s="1"/>
  <c r="R376" i="36"/>
  <c r="L410" i="36"/>
  <c r="P410" i="36" s="1"/>
  <c r="O439" i="36"/>
  <c r="M439" i="36"/>
  <c r="U439" i="36" s="1"/>
  <c r="M323" i="36"/>
  <c r="U323" i="36" s="1"/>
  <c r="O349" i="36"/>
  <c r="M353" i="36"/>
  <c r="U353" i="36" s="1"/>
  <c r="R353" i="36"/>
  <c r="R385" i="36"/>
  <c r="N387" i="36"/>
  <c r="O389" i="36"/>
  <c r="M389" i="36"/>
  <c r="U389" i="36" s="1"/>
  <c r="R389" i="36"/>
  <c r="N389" i="36"/>
  <c r="P425" i="36"/>
  <c r="P439" i="36"/>
  <c r="Q439" i="36" s="1"/>
  <c r="R451" i="36"/>
  <c r="P451" i="36"/>
  <c r="Q451" i="36" s="1"/>
  <c r="N323" i="36"/>
  <c r="R359" i="36"/>
  <c r="O359" i="36"/>
  <c r="N359" i="36"/>
  <c r="M365" i="36"/>
  <c r="U365" i="36" s="1"/>
  <c r="M376" i="36"/>
  <c r="U376" i="36" s="1"/>
  <c r="O387" i="36"/>
  <c r="P403" i="36"/>
  <c r="Q403" i="36" s="1"/>
  <c r="M403" i="36"/>
  <c r="U403" i="36" s="1"/>
  <c r="R403" i="36"/>
  <c r="P411" i="36"/>
  <c r="N415" i="36"/>
  <c r="M415" i="36"/>
  <c r="U415" i="36" s="1"/>
  <c r="R415" i="36"/>
  <c r="S415" i="36" s="1"/>
  <c r="P415" i="36"/>
  <c r="Q415" i="36" s="1"/>
  <c r="O415" i="36"/>
  <c r="R439" i="36"/>
  <c r="P475" i="36"/>
  <c r="R474" i="36"/>
  <c r="P483" i="36"/>
  <c r="R482" i="36"/>
  <c r="R413" i="36"/>
  <c r="S413" i="36" s="1"/>
  <c r="O413" i="36"/>
  <c r="N413" i="36"/>
  <c r="M421" i="36"/>
  <c r="U421" i="36" s="1"/>
  <c r="R421" i="36"/>
  <c r="P421" i="36"/>
  <c r="Q421" i="36" s="1"/>
  <c r="R445" i="36"/>
  <c r="P445" i="36"/>
  <c r="Q445" i="36" s="1"/>
  <c r="R447" i="36"/>
  <c r="S447" i="36" s="1"/>
  <c r="P447" i="36"/>
  <c r="O447" i="36"/>
  <c r="O405" i="36"/>
  <c r="L412" i="36"/>
  <c r="P412" i="36" s="1"/>
  <c r="L431" i="36"/>
  <c r="N430" i="36" s="1"/>
  <c r="N464" i="36"/>
  <c r="U464" i="36"/>
  <c r="R464" i="36"/>
  <c r="L438" i="36"/>
  <c r="P438" i="36" s="1"/>
  <c r="P462" i="36"/>
  <c r="N466" i="36"/>
  <c r="M466" i="36"/>
  <c r="U466" i="36" s="1"/>
  <c r="R466" i="36"/>
  <c r="N468" i="36"/>
  <c r="O470" i="36"/>
  <c r="L409" i="36"/>
  <c r="P409" i="36" s="1"/>
  <c r="L426" i="36"/>
  <c r="P426" i="36" s="1"/>
  <c r="P460" i="36"/>
  <c r="P430" i="36"/>
  <c r="L436" i="36"/>
  <c r="P436" i="36" s="1"/>
  <c r="R456" i="36"/>
  <c r="P456" i="36"/>
  <c r="P466" i="36"/>
  <c r="Q466" i="36" s="1"/>
  <c r="Q468" i="36"/>
  <c r="P474" i="36"/>
  <c r="O474" i="36"/>
  <c r="N474" i="36"/>
  <c r="M474" i="36"/>
  <c r="U474" i="36" s="1"/>
  <c r="P482" i="36"/>
  <c r="O482" i="36"/>
  <c r="N482" i="36"/>
  <c r="M482" i="36"/>
  <c r="U482" i="36" s="1"/>
  <c r="N443" i="36"/>
  <c r="R443" i="36"/>
  <c r="L450" i="36"/>
  <c r="P450" i="36" s="1"/>
  <c r="R460" i="36"/>
  <c r="R462" i="36"/>
  <c r="S462" i="36" s="1"/>
  <c r="P471" i="36"/>
  <c r="M470" i="36"/>
  <c r="U470" i="36" s="1"/>
  <c r="R470" i="36"/>
  <c r="R468" i="36"/>
  <c r="M468" i="36"/>
  <c r="U468" i="36" s="1"/>
  <c r="N470" i="36"/>
  <c r="Q454" i="36" l="1"/>
  <c r="M78" i="36"/>
  <c r="U78" i="36" s="1"/>
  <c r="M130" i="36"/>
  <c r="U130" i="36" s="1"/>
  <c r="R110" i="36"/>
  <c r="O130" i="36"/>
  <c r="Q58" i="36"/>
  <c r="N58" i="36"/>
  <c r="O76" i="36"/>
  <c r="O58" i="36"/>
  <c r="R58" i="36"/>
  <c r="Q76" i="36"/>
  <c r="Q459" i="36"/>
  <c r="O11" i="36"/>
  <c r="R32" i="36"/>
  <c r="O50" i="36"/>
  <c r="N70" i="36"/>
  <c r="M58" i="36"/>
  <c r="U58" i="36" s="1"/>
  <c r="R76" i="36"/>
  <c r="O457" i="36"/>
  <c r="N457" i="36"/>
  <c r="M457" i="36"/>
  <c r="U457" i="36" s="1"/>
  <c r="Q461" i="36"/>
  <c r="R130" i="36"/>
  <c r="S130" i="36" s="1"/>
  <c r="O132" i="36"/>
  <c r="R11" i="36"/>
  <c r="N50" i="36"/>
  <c r="O70" i="36"/>
  <c r="O48" i="36"/>
  <c r="N154" i="36"/>
  <c r="P457" i="36"/>
  <c r="Q457" i="36" s="1"/>
  <c r="M11" i="36"/>
  <c r="U11" i="36" s="1"/>
  <c r="R50" i="36"/>
  <c r="Q70" i="36"/>
  <c r="N449" i="36"/>
  <c r="Q106" i="36"/>
  <c r="N52" i="36"/>
  <c r="M70" i="36"/>
  <c r="U70" i="36" s="1"/>
  <c r="N156" i="36"/>
  <c r="O154" i="36"/>
  <c r="N62" i="36"/>
  <c r="P136" i="36"/>
  <c r="M154" i="36"/>
  <c r="U154" i="36" s="1"/>
  <c r="M164" i="36"/>
  <c r="U164" i="36" s="1"/>
  <c r="R106" i="36"/>
  <c r="O62" i="36"/>
  <c r="O34" i="36"/>
  <c r="M19" i="36"/>
  <c r="U19" i="36" s="1"/>
  <c r="R28" i="36"/>
  <c r="R64" i="36"/>
  <c r="P155" i="36"/>
  <c r="R138" i="36"/>
  <c r="O114" i="36"/>
  <c r="N164" i="36"/>
  <c r="M62" i="36"/>
  <c r="U62" i="36" s="1"/>
  <c r="M106" i="36"/>
  <c r="U106" i="36" s="1"/>
  <c r="R154" i="36"/>
  <c r="S154" i="36" s="1"/>
  <c r="R62" i="36"/>
  <c r="O26" i="36"/>
  <c r="O64" i="36"/>
  <c r="Q28" i="36"/>
  <c r="M138" i="36"/>
  <c r="U138" i="36" s="1"/>
  <c r="R114" i="36"/>
  <c r="O106" i="36"/>
  <c r="N106" i="36"/>
  <c r="Q62" i="36"/>
  <c r="Q26" i="36"/>
  <c r="O7" i="36"/>
  <c r="R128" i="36"/>
  <c r="M28" i="36"/>
  <c r="U28" i="36" s="1"/>
  <c r="Q138" i="36"/>
  <c r="Q52" i="36"/>
  <c r="O5" i="36"/>
  <c r="N28" i="36"/>
  <c r="M52" i="36"/>
  <c r="U52" i="36" s="1"/>
  <c r="R5" i="36"/>
  <c r="O28" i="36"/>
  <c r="M126" i="36"/>
  <c r="U126" i="36" s="1"/>
  <c r="M56" i="36"/>
  <c r="U56" i="36" s="1"/>
  <c r="N56" i="36"/>
  <c r="R156" i="36"/>
  <c r="N68" i="36"/>
  <c r="O126" i="36"/>
  <c r="N48" i="36"/>
  <c r="R166" i="36"/>
  <c r="S166" i="36" s="1"/>
  <c r="M156" i="36"/>
  <c r="U156" i="36" s="1"/>
  <c r="O44" i="36"/>
  <c r="N96" i="36"/>
  <c r="S355" i="36"/>
  <c r="O96" i="36"/>
  <c r="Q128" i="36"/>
  <c r="M34" i="36"/>
  <c r="U34" i="36" s="1"/>
  <c r="N26" i="36"/>
  <c r="O56" i="36"/>
  <c r="M88" i="36"/>
  <c r="U88" i="36" s="1"/>
  <c r="M40" i="36"/>
  <c r="U40" i="36" s="1"/>
  <c r="Q40" i="36"/>
  <c r="R52" i="36"/>
  <c r="R7" i="36"/>
  <c r="N144" i="36"/>
  <c r="P57" i="36"/>
  <c r="Q56" i="36" s="1"/>
  <c r="L177" i="36"/>
  <c r="P177" i="36" s="1"/>
  <c r="U7" i="36"/>
  <c r="R60" i="36"/>
  <c r="R96" i="36"/>
  <c r="Q166" i="36"/>
  <c r="O120" i="36"/>
  <c r="N60" i="36"/>
  <c r="P157" i="36"/>
  <c r="Q156" i="36" s="1"/>
  <c r="M344" i="36"/>
  <c r="U344" i="36" s="1"/>
  <c r="L179" i="36"/>
  <c r="O68" i="36"/>
  <c r="Q68" i="36"/>
  <c r="M60" i="36"/>
  <c r="U60" i="36" s="1"/>
  <c r="O156" i="36"/>
  <c r="R68" i="36"/>
  <c r="O144" i="36"/>
  <c r="N126" i="36"/>
  <c r="P127" i="36"/>
  <c r="Q126" i="36" s="1"/>
  <c r="N7" i="36"/>
  <c r="M68" i="36"/>
  <c r="U68" i="36" s="1"/>
  <c r="R144" i="36"/>
  <c r="S144" i="36" s="1"/>
  <c r="O86" i="36"/>
  <c r="M66" i="36"/>
  <c r="U66" i="36" s="1"/>
  <c r="O150" i="36"/>
  <c r="R120" i="36"/>
  <c r="O136" i="36"/>
  <c r="S319" i="36"/>
  <c r="N42" i="36"/>
  <c r="R136" i="36"/>
  <c r="R42" i="36"/>
  <c r="Q96" i="36"/>
  <c r="M42" i="36"/>
  <c r="U42" i="36" s="1"/>
  <c r="R162" i="36"/>
  <c r="O42" i="36"/>
  <c r="Q66" i="36"/>
  <c r="N66" i="36"/>
  <c r="S19" i="36"/>
  <c r="S15" i="36"/>
  <c r="M162" i="36"/>
  <c r="U162" i="36" s="1"/>
  <c r="O66" i="36"/>
  <c r="Q120" i="36"/>
  <c r="Q136" i="36"/>
  <c r="S347" i="36"/>
  <c r="R66" i="36"/>
  <c r="O172" i="36"/>
  <c r="N120" i="36"/>
  <c r="M136" i="36"/>
  <c r="U136" i="36" s="1"/>
  <c r="Q424" i="36"/>
  <c r="R140" i="36"/>
  <c r="O128" i="36"/>
  <c r="O60" i="36"/>
  <c r="N337" i="36"/>
  <c r="S50" i="36"/>
  <c r="M38" i="36"/>
  <c r="U38" i="36" s="1"/>
  <c r="Q60" i="36"/>
  <c r="N38" i="36"/>
  <c r="M128" i="36"/>
  <c r="U128" i="36" s="1"/>
  <c r="Q144" i="36"/>
  <c r="O38" i="36"/>
  <c r="R26" i="36"/>
  <c r="P141" i="36"/>
  <c r="N128" i="36"/>
  <c r="Q38" i="36"/>
  <c r="M26" i="36"/>
  <c r="U26" i="36" s="1"/>
  <c r="S138" i="36"/>
  <c r="S453" i="36"/>
  <c r="R38" i="36"/>
  <c r="R170" i="36"/>
  <c r="N138" i="36"/>
  <c r="S112" i="36"/>
  <c r="Q329" i="36"/>
  <c r="M76" i="36"/>
  <c r="U76" i="36" s="1"/>
  <c r="Q385" i="36"/>
  <c r="N78" i="36"/>
  <c r="R74" i="36"/>
  <c r="S484" i="36"/>
  <c r="Q48" i="36"/>
  <c r="N76" i="36"/>
  <c r="Q172" i="36"/>
  <c r="N140" i="36"/>
  <c r="O148" i="36"/>
  <c r="Q102" i="36"/>
  <c r="R172" i="36"/>
  <c r="O84" i="36"/>
  <c r="M172" i="36"/>
  <c r="U172" i="36" s="1"/>
  <c r="M32" i="36"/>
  <c r="U32" i="36" s="1"/>
  <c r="P148" i="36"/>
  <c r="Q148" i="36" s="1"/>
  <c r="Q84" i="36"/>
  <c r="S94" i="36"/>
  <c r="S393" i="36"/>
  <c r="M80" i="36"/>
  <c r="U80" i="36" s="1"/>
  <c r="N168" i="36"/>
  <c r="R84" i="36"/>
  <c r="N80" i="36"/>
  <c r="S124" i="36"/>
  <c r="M84" i="36"/>
  <c r="U84" i="36" s="1"/>
  <c r="R80" i="36"/>
  <c r="N32" i="36"/>
  <c r="Q142" i="36"/>
  <c r="O32" i="36"/>
  <c r="N84" i="36"/>
  <c r="O80" i="36"/>
  <c r="S369" i="36"/>
  <c r="Q317" i="36"/>
  <c r="N172" i="36"/>
  <c r="Q32" i="36"/>
  <c r="Q21" i="36"/>
  <c r="Q80" i="36"/>
  <c r="L181" i="36"/>
  <c r="P181" i="36" s="1"/>
  <c r="L178" i="36"/>
  <c r="P178" i="36" s="1"/>
  <c r="M146" i="36"/>
  <c r="U146" i="36" s="1"/>
  <c r="N102" i="36"/>
  <c r="R160" i="36"/>
  <c r="N146" i="36"/>
  <c r="R44" i="36"/>
  <c r="O344" i="36"/>
  <c r="O158" i="36"/>
  <c r="N98" i="36"/>
  <c r="R142" i="36"/>
  <c r="O72" i="36"/>
  <c r="M104" i="36"/>
  <c r="U104" i="36" s="1"/>
  <c r="R13" i="36"/>
  <c r="O162" i="36"/>
  <c r="P105" i="36"/>
  <c r="M160" i="36"/>
  <c r="U160" i="36" s="1"/>
  <c r="R168" i="36"/>
  <c r="O146" i="36"/>
  <c r="O13" i="36"/>
  <c r="S474" i="36"/>
  <c r="S395" i="36"/>
  <c r="Q344" i="36"/>
  <c r="M142" i="36"/>
  <c r="U142" i="36" s="1"/>
  <c r="O98" i="36"/>
  <c r="R158" i="36"/>
  <c r="N142" i="36"/>
  <c r="M140" i="36"/>
  <c r="U140" i="36" s="1"/>
  <c r="M13" i="36"/>
  <c r="U13" i="36" s="1"/>
  <c r="O170" i="36"/>
  <c r="N162" i="36"/>
  <c r="N160" i="36"/>
  <c r="M168" i="36"/>
  <c r="U168" i="36" s="1"/>
  <c r="P146" i="36"/>
  <c r="Q146" i="36" s="1"/>
  <c r="R48" i="36"/>
  <c r="S48" i="36" s="1"/>
  <c r="R344" i="36"/>
  <c r="R98" i="36"/>
  <c r="N158" i="36"/>
  <c r="M158" i="36"/>
  <c r="U158" i="36" s="1"/>
  <c r="O142" i="36"/>
  <c r="O140" i="36"/>
  <c r="N13" i="36"/>
  <c r="M170" i="36"/>
  <c r="U170" i="36" s="1"/>
  <c r="M148" i="36"/>
  <c r="U148" i="36" s="1"/>
  <c r="O160" i="36"/>
  <c r="O168" i="36"/>
  <c r="R146" i="36"/>
  <c r="R102" i="36"/>
  <c r="N344" i="36"/>
  <c r="Q158" i="36"/>
  <c r="P140" i="36"/>
  <c r="Q162" i="36"/>
  <c r="N170" i="36"/>
  <c r="N148" i="36"/>
  <c r="Q44" i="36"/>
  <c r="P168" i="36"/>
  <c r="Q168" i="36" s="1"/>
  <c r="Q88" i="36"/>
  <c r="P73" i="36"/>
  <c r="Q72" i="36" s="1"/>
  <c r="L182" i="36"/>
  <c r="P182" i="36" s="1"/>
  <c r="L175" i="36"/>
  <c r="N74" i="36"/>
  <c r="S443" i="36"/>
  <c r="Q447" i="36"/>
  <c r="Q387" i="36"/>
  <c r="M102" i="36"/>
  <c r="U102" i="36" s="1"/>
  <c r="P170" i="36"/>
  <c r="Q170" i="36" s="1"/>
  <c r="R148" i="36"/>
  <c r="M44" i="36"/>
  <c r="U44" i="36" s="1"/>
  <c r="O74" i="36"/>
  <c r="S60" i="36"/>
  <c r="R88" i="36"/>
  <c r="R72" i="36"/>
  <c r="S72" i="36" s="1"/>
  <c r="S476" i="36"/>
  <c r="O102" i="36"/>
  <c r="N104" i="36"/>
  <c r="N44" i="36"/>
  <c r="M74" i="36"/>
  <c r="U74" i="36" s="1"/>
  <c r="O88" i="36"/>
  <c r="L176" i="36"/>
  <c r="P176" i="36" s="1"/>
  <c r="S486" i="36"/>
  <c r="R449" i="36"/>
  <c r="S432" i="36"/>
  <c r="S382" i="36"/>
  <c r="S92" i="36"/>
  <c r="Q134" i="36"/>
  <c r="M430" i="36"/>
  <c r="U430" i="36" s="1"/>
  <c r="S439" i="36"/>
  <c r="N424" i="36"/>
  <c r="S100" i="36"/>
  <c r="S58" i="36"/>
  <c r="S344" i="36"/>
  <c r="S379" i="36"/>
  <c r="G184" i="36"/>
  <c r="L183" i="36"/>
  <c r="M120" i="36"/>
  <c r="U120" i="36" s="1"/>
  <c r="Q98" i="36"/>
  <c r="M24" i="36"/>
  <c r="U24" i="36" s="1"/>
  <c r="M98" i="36"/>
  <c r="U98" i="36" s="1"/>
  <c r="S460" i="36"/>
  <c r="S323" i="36"/>
  <c r="U449" i="36"/>
  <c r="M96" i="36"/>
  <c r="U96" i="36" s="1"/>
  <c r="L180" i="36"/>
  <c r="S162" i="36"/>
  <c r="Q154" i="36"/>
  <c r="R150" i="36"/>
  <c r="N150" i="36"/>
  <c r="R134" i="36"/>
  <c r="S317" i="36"/>
  <c r="S321" i="36"/>
  <c r="R327" i="36"/>
  <c r="S329" i="36"/>
  <c r="M337" i="36"/>
  <c r="U337" i="36" s="1"/>
  <c r="O337" i="36"/>
  <c r="Q337" i="36"/>
  <c r="R337" i="36"/>
  <c r="S353" i="36"/>
  <c r="S365" i="36"/>
  <c r="S361" i="36"/>
  <c r="S363" i="36"/>
  <c r="O373" i="36"/>
  <c r="Q373" i="36"/>
  <c r="S376" i="36"/>
  <c r="S389" i="36"/>
  <c r="S391" i="36"/>
  <c r="S405" i="36"/>
  <c r="S403" i="36"/>
  <c r="S421" i="36"/>
  <c r="R424" i="36"/>
  <c r="O424" i="36"/>
  <c r="S458" i="36"/>
  <c r="S464" i="36"/>
  <c r="S466" i="36"/>
  <c r="Q472" i="36"/>
  <c r="S478" i="36"/>
  <c r="S480" i="36"/>
  <c r="P133" i="36"/>
  <c r="Q132" i="36" s="1"/>
  <c r="N132" i="36"/>
  <c r="R132" i="36"/>
  <c r="S132" i="36" s="1"/>
  <c r="S128" i="36"/>
  <c r="M118" i="36"/>
  <c r="U118" i="36" s="1"/>
  <c r="S106" i="36"/>
  <c r="R78" i="36"/>
  <c r="O78" i="36"/>
  <c r="M54" i="36"/>
  <c r="U54" i="36" s="1"/>
  <c r="O54" i="36"/>
  <c r="O46" i="36"/>
  <c r="M46" i="36"/>
  <c r="U46" i="36" s="1"/>
  <c r="N46" i="36"/>
  <c r="S40" i="36"/>
  <c r="S34" i="36"/>
  <c r="M30" i="36"/>
  <c r="U30" i="36" s="1"/>
  <c r="N30" i="36"/>
  <c r="Q30" i="36"/>
  <c r="O21" i="36"/>
  <c r="M21" i="36"/>
  <c r="U21" i="36" s="1"/>
  <c r="N21" i="36"/>
  <c r="N407" i="36"/>
  <c r="Q176" i="36"/>
  <c r="N373" i="36"/>
  <c r="S110" i="36"/>
  <c r="O30" i="36"/>
  <c r="N54" i="36"/>
  <c r="Q470" i="36"/>
  <c r="S64" i="36"/>
  <c r="N357" i="36"/>
  <c r="M357" i="36"/>
  <c r="U357" i="36" s="1"/>
  <c r="P358" i="36"/>
  <c r="Q357" i="36" s="1"/>
  <c r="Q110" i="36"/>
  <c r="S126" i="36"/>
  <c r="M435" i="36"/>
  <c r="U435" i="36" s="1"/>
  <c r="S164" i="36"/>
  <c r="M411" i="36"/>
  <c r="U411" i="36" s="1"/>
  <c r="P328" i="36"/>
  <c r="Q327" i="36" s="1"/>
  <c r="M327" i="36"/>
  <c r="U327" i="36" s="1"/>
  <c r="S468" i="36"/>
  <c r="S456" i="36"/>
  <c r="O411" i="36"/>
  <c r="O357" i="36"/>
  <c r="S397" i="36"/>
  <c r="S401" i="36"/>
  <c r="S399" i="36"/>
  <c r="S367" i="36"/>
  <c r="S351" i="36"/>
  <c r="S325" i="36"/>
  <c r="O449" i="36"/>
  <c r="S315" i="36"/>
  <c r="S472" i="36"/>
  <c r="S333" i="36"/>
  <c r="N118" i="36"/>
  <c r="Q104" i="36"/>
  <c r="S36" i="36"/>
  <c r="R21" i="36"/>
  <c r="S17" i="36"/>
  <c r="S9" i="36"/>
  <c r="S5" i="36"/>
  <c r="S70" i="36"/>
  <c r="S104" i="36"/>
  <c r="Q46" i="36"/>
  <c r="R30" i="36"/>
  <c r="Q54" i="36"/>
  <c r="R176" i="36"/>
  <c r="S387" i="36"/>
  <c r="N411" i="36"/>
  <c r="S470" i="36"/>
  <c r="P431" i="36"/>
  <c r="Q430" i="36" s="1"/>
  <c r="R430" i="36"/>
  <c r="Q411" i="36"/>
  <c r="N435" i="36"/>
  <c r="Q449" i="36"/>
  <c r="S114" i="36"/>
  <c r="O118" i="36"/>
  <c r="S108" i="36"/>
  <c r="S136" i="36"/>
  <c r="S122" i="36"/>
  <c r="S78" i="36"/>
  <c r="M134" i="36"/>
  <c r="U134" i="36" s="1"/>
  <c r="R46" i="36"/>
  <c r="S76" i="36"/>
  <c r="R54" i="36"/>
  <c r="Q407" i="36"/>
  <c r="R411" i="36"/>
  <c r="S418" i="36"/>
  <c r="Q474" i="36"/>
  <c r="S359" i="36"/>
  <c r="O435" i="36"/>
  <c r="P342" i="36"/>
  <c r="Q341" i="36" s="1"/>
  <c r="M341" i="36"/>
  <c r="U341" i="36" s="1"/>
  <c r="M407" i="36"/>
  <c r="U407" i="36" s="1"/>
  <c r="R341" i="36"/>
  <c r="Q315" i="36"/>
  <c r="P313" i="36"/>
  <c r="Q312" i="36" s="1"/>
  <c r="M312" i="36"/>
  <c r="U312" i="36" s="1"/>
  <c r="N312" i="36"/>
  <c r="Q118" i="36"/>
  <c r="O176" i="36"/>
  <c r="S86" i="36"/>
  <c r="M373" i="36"/>
  <c r="U373" i="36" s="1"/>
  <c r="N134" i="36"/>
  <c r="S116" i="36"/>
  <c r="R435" i="36"/>
  <c r="R407" i="36"/>
  <c r="S56" i="36"/>
  <c r="Q482" i="36"/>
  <c r="S451" i="36"/>
  <c r="R357" i="36"/>
  <c r="O430" i="36"/>
  <c r="M424" i="36"/>
  <c r="U424" i="36" s="1"/>
  <c r="S445" i="36"/>
  <c r="S482" i="36"/>
  <c r="O341" i="36"/>
  <c r="S385" i="36"/>
  <c r="Q435" i="36"/>
  <c r="O407" i="36"/>
  <c r="S339" i="36"/>
  <c r="R312" i="36"/>
  <c r="S349" i="36"/>
  <c r="S427" i="36"/>
  <c r="N327" i="36"/>
  <c r="S331" i="36"/>
  <c r="S335" i="36"/>
  <c r="S152" i="36"/>
  <c r="R118" i="36"/>
  <c r="P151" i="36"/>
  <c r="Q150" i="36" s="1"/>
  <c r="M150" i="36"/>
  <c r="U150" i="36" s="1"/>
  <c r="S82" i="36"/>
  <c r="M176" i="36"/>
  <c r="U176" i="36" s="1"/>
  <c r="S38" i="36"/>
  <c r="S74" i="36"/>
  <c r="R373" i="36"/>
  <c r="O134" i="36"/>
  <c r="S52" i="36"/>
  <c r="S11" i="36" l="1"/>
  <c r="S88" i="36"/>
  <c r="S62" i="36"/>
  <c r="S7" i="36"/>
  <c r="S66" i="36"/>
  <c r="S156" i="36"/>
  <c r="S28" i="36"/>
  <c r="S80" i="36"/>
  <c r="R178" i="36"/>
  <c r="S68" i="36"/>
  <c r="S42" i="36"/>
  <c r="S26" i="36"/>
  <c r="S102" i="36"/>
  <c r="S168" i="36"/>
  <c r="N178" i="36"/>
  <c r="O178" i="36"/>
  <c r="P179" i="36"/>
  <c r="Q178" i="36" s="1"/>
  <c r="M178" i="36"/>
  <c r="U178" i="36" s="1"/>
  <c r="Q140" i="36"/>
  <c r="S146" i="36"/>
  <c r="S140" i="36"/>
  <c r="S96" i="36"/>
  <c r="S160" i="36"/>
  <c r="S142" i="36"/>
  <c r="S13" i="36"/>
  <c r="S449" i="36"/>
  <c r="S411" i="36"/>
  <c r="S84" i="36"/>
  <c r="S32" i="36"/>
  <c r="S148" i="36"/>
  <c r="S172" i="36"/>
  <c r="S430" i="36"/>
  <c r="S44" i="36"/>
  <c r="S118" i="36"/>
  <c r="S158" i="36"/>
  <c r="S54" i="36"/>
  <c r="S46" i="36"/>
  <c r="N176" i="36"/>
  <c r="S30" i="36"/>
  <c r="S170" i="36"/>
  <c r="S337" i="36"/>
  <c r="S21" i="36"/>
  <c r="O174" i="36"/>
  <c r="M174" i="36"/>
  <c r="U174" i="36" s="1"/>
  <c r="P175" i="36"/>
  <c r="Q174" i="36" s="1"/>
  <c r="R174" i="36"/>
  <c r="N174" i="36"/>
  <c r="S120" i="36"/>
  <c r="P183" i="36"/>
  <c r="Q182" i="36" s="1"/>
  <c r="M182" i="36"/>
  <c r="U182" i="36" s="1"/>
  <c r="R182" i="36"/>
  <c r="O182" i="36"/>
  <c r="N182" i="36"/>
  <c r="S341" i="36"/>
  <c r="G185" i="36"/>
  <c r="L184" i="36"/>
  <c r="R180" i="36"/>
  <c r="O180" i="36"/>
  <c r="N180" i="36"/>
  <c r="P180" i="36"/>
  <c r="Q180" i="36" s="1"/>
  <c r="M180" i="36"/>
  <c r="U180" i="36" s="1"/>
  <c r="S98" i="36"/>
  <c r="S24" i="36"/>
  <c r="S312" i="36"/>
  <c r="S357" i="36"/>
  <c r="S373" i="36"/>
  <c r="S150" i="36"/>
  <c r="S327" i="36"/>
  <c r="S134" i="36"/>
  <c r="S176" i="36"/>
  <c r="S407" i="36"/>
  <c r="S424" i="36"/>
  <c r="S435" i="36"/>
  <c r="S178" i="36" l="1"/>
  <c r="S180" i="36"/>
  <c r="S174" i="36"/>
  <c r="S182" i="36"/>
  <c r="P184" i="36"/>
  <c r="G186" i="36"/>
  <c r="L185" i="36"/>
  <c r="P185" i="36" s="1"/>
  <c r="K121" i="35"/>
  <c r="L121" i="35" s="1"/>
  <c r="K120" i="35"/>
  <c r="L120" i="35" s="1"/>
  <c r="P120" i="35" s="1"/>
  <c r="K119" i="35"/>
  <c r="L119" i="35" s="1"/>
  <c r="K118" i="35"/>
  <c r="L118" i="35" s="1"/>
  <c r="P118" i="35" s="1"/>
  <c r="K117" i="35"/>
  <c r="L117" i="35" s="1"/>
  <c r="M116" i="35" s="1"/>
  <c r="U116" i="35" s="1"/>
  <c r="K116" i="35"/>
  <c r="L116" i="35" s="1"/>
  <c r="P116" i="35" s="1"/>
  <c r="K115" i="35"/>
  <c r="L115" i="35" s="1"/>
  <c r="K114" i="35"/>
  <c r="L114" i="35" s="1"/>
  <c r="P114" i="35" s="1"/>
  <c r="K113" i="35"/>
  <c r="L113" i="35" s="1"/>
  <c r="P113" i="35" s="1"/>
  <c r="K112" i="35"/>
  <c r="L112" i="35" s="1"/>
  <c r="K111" i="35"/>
  <c r="L111" i="35" s="1"/>
  <c r="P111" i="35" s="1"/>
  <c r="K110" i="35"/>
  <c r="L110" i="35" s="1"/>
  <c r="K109" i="35"/>
  <c r="L109" i="35" s="1"/>
  <c r="K108" i="35"/>
  <c r="L108" i="35" s="1"/>
  <c r="P108" i="35" s="1"/>
  <c r="A108" i="35"/>
  <c r="A111" i="35" s="1"/>
  <c r="A114" i="35" s="1"/>
  <c r="A116" i="35" s="1"/>
  <c r="A118" i="35" s="1"/>
  <c r="A120" i="35" s="1"/>
  <c r="K107" i="35"/>
  <c r="L107" i="35" s="1"/>
  <c r="K106" i="35"/>
  <c r="L106" i="35" s="1"/>
  <c r="P106" i="35" s="1"/>
  <c r="K105" i="35"/>
  <c r="L105" i="35" s="1"/>
  <c r="P105" i="35" s="1"/>
  <c r="K104" i="35"/>
  <c r="L104" i="35" s="1"/>
  <c r="K103" i="35"/>
  <c r="K102" i="35"/>
  <c r="K101" i="35"/>
  <c r="L101" i="35" s="1"/>
  <c r="M100" i="35" s="1"/>
  <c r="U100" i="35" s="1"/>
  <c r="K100" i="35"/>
  <c r="L100" i="35" s="1"/>
  <c r="P100" i="35" s="1"/>
  <c r="K99" i="35"/>
  <c r="L99" i="35" s="1"/>
  <c r="K98" i="35"/>
  <c r="L98" i="35" s="1"/>
  <c r="P98" i="35" s="1"/>
  <c r="K97" i="35"/>
  <c r="L97" i="35" s="1"/>
  <c r="P97" i="35" s="1"/>
  <c r="K96" i="35"/>
  <c r="L96" i="35" s="1"/>
  <c r="K95" i="35"/>
  <c r="L95" i="35" s="1"/>
  <c r="P95" i="35" s="1"/>
  <c r="K94" i="35"/>
  <c r="K93" i="35"/>
  <c r="L93" i="35" s="1"/>
  <c r="K92" i="35"/>
  <c r="L92" i="35" s="1"/>
  <c r="P92" i="35" s="1"/>
  <c r="K91" i="35"/>
  <c r="L91" i="35" s="1"/>
  <c r="P91" i="35" s="1"/>
  <c r="K90" i="35"/>
  <c r="L90" i="35" s="1"/>
  <c r="K89" i="35"/>
  <c r="L89" i="35" s="1"/>
  <c r="P89" i="35" s="1"/>
  <c r="K88" i="35"/>
  <c r="L88" i="35" s="1"/>
  <c r="K87" i="35"/>
  <c r="K86" i="35"/>
  <c r="L86" i="35" s="1"/>
  <c r="K85" i="35"/>
  <c r="L85" i="35" s="1"/>
  <c r="K84" i="35"/>
  <c r="L84" i="35" s="1"/>
  <c r="P84" i="35" s="1"/>
  <c r="K83" i="35"/>
  <c r="L83" i="35" s="1"/>
  <c r="K82" i="35"/>
  <c r="L82" i="35" s="1"/>
  <c r="P82" i="35" s="1"/>
  <c r="K81" i="35"/>
  <c r="L81" i="35" s="1"/>
  <c r="K80" i="35"/>
  <c r="L80" i="35" s="1"/>
  <c r="P80" i="35" s="1"/>
  <c r="K79" i="35"/>
  <c r="L79" i="35" s="1"/>
  <c r="P79" i="35" s="1"/>
  <c r="Q78" i="35" s="1"/>
  <c r="K78" i="35"/>
  <c r="L78" i="35" s="1"/>
  <c r="P78" i="35" s="1"/>
  <c r="K77" i="35"/>
  <c r="L77" i="35" s="1"/>
  <c r="P77" i="35" s="1"/>
  <c r="K76" i="35"/>
  <c r="L76" i="35" s="1"/>
  <c r="K75" i="35"/>
  <c r="L75" i="35" s="1"/>
  <c r="P75" i="35" s="1"/>
  <c r="K74" i="35"/>
  <c r="L74" i="35" s="1"/>
  <c r="K73" i="35"/>
  <c r="L73" i="35" s="1"/>
  <c r="K72" i="35"/>
  <c r="L72" i="35" s="1"/>
  <c r="P72" i="35" s="1"/>
  <c r="K71" i="35"/>
  <c r="L71" i="35" s="1"/>
  <c r="M70" i="35" s="1"/>
  <c r="U70" i="35" s="1"/>
  <c r="K70" i="35"/>
  <c r="L70" i="35" s="1"/>
  <c r="P70" i="35" s="1"/>
  <c r="K69" i="35"/>
  <c r="L69" i="35" s="1"/>
  <c r="P69" i="35" s="1"/>
  <c r="K68" i="35"/>
  <c r="L68" i="35" s="1"/>
  <c r="R67" i="35" s="1"/>
  <c r="K67" i="35"/>
  <c r="L67" i="35" s="1"/>
  <c r="P67" i="35" s="1"/>
  <c r="K66" i="35"/>
  <c r="L66" i="35" s="1"/>
  <c r="K65" i="35"/>
  <c r="L65" i="35" s="1"/>
  <c r="P65" i="35" s="1"/>
  <c r="K64" i="35"/>
  <c r="L64" i="35" s="1"/>
  <c r="P64" i="35" s="1"/>
  <c r="K63" i="35"/>
  <c r="L63" i="35" s="1"/>
  <c r="K62" i="35"/>
  <c r="L62" i="35" s="1"/>
  <c r="P62" i="35" s="1"/>
  <c r="K61" i="35"/>
  <c r="L61" i="35" s="1"/>
  <c r="P61" i="35" s="1"/>
  <c r="K60" i="35"/>
  <c r="L60" i="35" s="1"/>
  <c r="K59" i="35"/>
  <c r="L59" i="35" s="1"/>
  <c r="P59" i="35" s="1"/>
  <c r="K58" i="35"/>
  <c r="L58" i="35" s="1"/>
  <c r="K57" i="35"/>
  <c r="L57" i="35" s="1"/>
  <c r="P57" i="35" s="1"/>
  <c r="K56" i="35"/>
  <c r="L56" i="35" s="1"/>
  <c r="P56" i="35" s="1"/>
  <c r="K55" i="35"/>
  <c r="L55" i="35" s="1"/>
  <c r="P55" i="35" s="1"/>
  <c r="K54" i="35"/>
  <c r="L54" i="35" s="1"/>
  <c r="K53" i="35"/>
  <c r="L53" i="35" s="1"/>
  <c r="P53" i="35" s="1"/>
  <c r="K52" i="35"/>
  <c r="L52" i="35" s="1"/>
  <c r="P52" i="35" s="1"/>
  <c r="K51" i="35"/>
  <c r="L51" i="35" s="1"/>
  <c r="K50" i="35"/>
  <c r="L50" i="35" s="1"/>
  <c r="P50" i="35" s="1"/>
  <c r="L49" i="35"/>
  <c r="P49" i="35" s="1"/>
  <c r="K49" i="35"/>
  <c r="K48" i="35"/>
  <c r="L48" i="35" s="1"/>
  <c r="K47" i="35"/>
  <c r="K46" i="35"/>
  <c r="L46" i="35" s="1"/>
  <c r="K45" i="35"/>
  <c r="L45" i="35" s="1"/>
  <c r="P45" i="35" s="1"/>
  <c r="K44" i="35"/>
  <c r="L44" i="35" s="1"/>
  <c r="K43" i="35"/>
  <c r="L43" i="35" s="1"/>
  <c r="P43" i="35" s="1"/>
  <c r="K42" i="35"/>
  <c r="L42" i="35" s="1"/>
  <c r="P42" i="35" s="1"/>
  <c r="K41" i="35"/>
  <c r="L41" i="35" s="1"/>
  <c r="P41" i="35" s="1"/>
  <c r="K40" i="35"/>
  <c r="K39" i="35"/>
  <c r="L39" i="35" s="1"/>
  <c r="K38" i="35"/>
  <c r="L38" i="35" s="1"/>
  <c r="P38" i="35" s="1"/>
  <c r="K37" i="35"/>
  <c r="L37" i="35" s="1"/>
  <c r="P37" i="35" s="1"/>
  <c r="K36" i="35"/>
  <c r="L36" i="35" s="1"/>
  <c r="K35" i="35"/>
  <c r="L35" i="35" s="1"/>
  <c r="P35" i="35" s="1"/>
  <c r="K34" i="35"/>
  <c r="L34" i="35" s="1"/>
  <c r="P34" i="35" s="1"/>
  <c r="K33" i="35"/>
  <c r="L33" i="35" s="1"/>
  <c r="K32" i="35"/>
  <c r="L32" i="35" s="1"/>
  <c r="P32" i="35" s="1"/>
  <c r="K31" i="35"/>
  <c r="L31" i="35" s="1"/>
  <c r="K30" i="35"/>
  <c r="L30" i="35" s="1"/>
  <c r="P30" i="35" s="1"/>
  <c r="K29" i="35"/>
  <c r="L29" i="35" s="1"/>
  <c r="O29" i="35" s="1"/>
  <c r="K28" i="35"/>
  <c r="L28" i="35" s="1"/>
  <c r="K27" i="35"/>
  <c r="L27" i="35" s="1"/>
  <c r="L26" i="35"/>
  <c r="P26" i="35" s="1"/>
  <c r="K26" i="35"/>
  <c r="K25" i="35"/>
  <c r="L25" i="35" s="1"/>
  <c r="K24" i="35"/>
  <c r="L24" i="35" s="1"/>
  <c r="P24" i="35" s="1"/>
  <c r="K23" i="35"/>
  <c r="L23" i="35" s="1"/>
  <c r="K22" i="35"/>
  <c r="K21" i="35"/>
  <c r="L21" i="35" s="1"/>
  <c r="K20" i="35"/>
  <c r="L20" i="35" s="1"/>
  <c r="K19" i="35"/>
  <c r="L19" i="35" s="1"/>
  <c r="P19" i="35" s="1"/>
  <c r="A19" i="35"/>
  <c r="A21" i="35" s="1"/>
  <c r="A23" i="35" s="1"/>
  <c r="A25" i="35" s="1"/>
  <c r="A27" i="35" s="1"/>
  <c r="A29" i="35" s="1"/>
  <c r="A31" i="35" s="1"/>
  <c r="A33" i="35" s="1"/>
  <c r="A35" i="35" s="1"/>
  <c r="A37" i="35" s="1"/>
  <c r="A39" i="35" s="1"/>
  <c r="A41" i="35" s="1"/>
  <c r="A43" i="35" s="1"/>
  <c r="A45" i="35" s="1"/>
  <c r="A47" i="35" s="1"/>
  <c r="A50" i="35" s="1"/>
  <c r="A53" i="35" s="1"/>
  <c r="A56" i="35" s="1"/>
  <c r="A59" i="35" s="1"/>
  <c r="A62" i="35" s="1"/>
  <c r="A64" i="35" s="1"/>
  <c r="A67" i="35" s="1"/>
  <c r="A70" i="35" s="1"/>
  <c r="A72" i="35" s="1"/>
  <c r="A75" i="35" s="1"/>
  <c r="A78" i="35" s="1"/>
  <c r="A80" i="35" s="1"/>
  <c r="A82" i="35" s="1"/>
  <c r="A84" i="35" s="1"/>
  <c r="A87" i="35" s="1"/>
  <c r="A89" i="35" s="1"/>
  <c r="A92" i="35" s="1"/>
  <c r="A95" i="35" s="1"/>
  <c r="A98" i="35" s="1"/>
  <c r="A100" i="35" s="1"/>
  <c r="A102" i="35" s="1"/>
  <c r="K18" i="35"/>
  <c r="L18" i="35" s="1"/>
  <c r="P18" i="35" s="1"/>
  <c r="K17" i="35"/>
  <c r="L17" i="35" s="1"/>
  <c r="K16" i="35"/>
  <c r="L16" i="35" s="1"/>
  <c r="P16" i="35" s="1"/>
  <c r="K15" i="35"/>
  <c r="L15" i="35" s="1"/>
  <c r="P15" i="35" s="1"/>
  <c r="L14" i="35"/>
  <c r="P14" i="35" s="1"/>
  <c r="K14" i="35"/>
  <c r="K13" i="35"/>
  <c r="L13" i="35" s="1"/>
  <c r="K12" i="35"/>
  <c r="L12" i="35" s="1"/>
  <c r="K11" i="35"/>
  <c r="L11" i="35" s="1"/>
  <c r="K10" i="35"/>
  <c r="L10" i="35" s="1"/>
  <c r="P10" i="35" s="1"/>
  <c r="K9" i="35"/>
  <c r="L9" i="35" s="1"/>
  <c r="K8" i="35"/>
  <c r="L8" i="35" s="1"/>
  <c r="P8" i="35" s="1"/>
  <c r="K7" i="35"/>
  <c r="L7" i="35" s="1"/>
  <c r="A7" i="35"/>
  <c r="A9" i="35" s="1"/>
  <c r="A11" i="35" s="1"/>
  <c r="A13" i="35" s="1"/>
  <c r="A15" i="35" s="1"/>
  <c r="K6" i="35"/>
  <c r="L6" i="35" s="1"/>
  <c r="P6" i="35" s="1"/>
  <c r="K5" i="35"/>
  <c r="L5" i="35" s="1"/>
  <c r="R184" i="36" l="1"/>
  <c r="O184" i="36"/>
  <c r="Q184" i="36"/>
  <c r="M184" i="36"/>
  <c r="U184" i="36" s="1"/>
  <c r="N184" i="36"/>
  <c r="G187" i="36"/>
  <c r="L186" i="36"/>
  <c r="N89" i="35"/>
  <c r="R47" i="35"/>
  <c r="M80" i="35"/>
  <c r="U80" i="35" s="1"/>
  <c r="N80" i="35"/>
  <c r="L40" i="35"/>
  <c r="P40" i="35" s="1"/>
  <c r="L22" i="35"/>
  <c r="P22" i="35" s="1"/>
  <c r="L47" i="35"/>
  <c r="P47" i="35" s="1"/>
  <c r="M53" i="35"/>
  <c r="U53" i="35" s="1"/>
  <c r="L102" i="35"/>
  <c r="P102" i="35" s="1"/>
  <c r="L103" i="35"/>
  <c r="P103" i="35" s="1"/>
  <c r="L87" i="35"/>
  <c r="P87" i="35" s="1"/>
  <c r="L94" i="35"/>
  <c r="P94" i="35" s="1"/>
  <c r="N116" i="35"/>
  <c r="M84" i="35"/>
  <c r="U84" i="35" s="1"/>
  <c r="P86" i="35"/>
  <c r="N19" i="35"/>
  <c r="O70" i="35"/>
  <c r="P81" i="35"/>
  <c r="Q80" i="35" s="1"/>
  <c r="N13" i="35"/>
  <c r="Q37" i="35"/>
  <c r="Q41" i="35"/>
  <c r="O56" i="35"/>
  <c r="N105" i="35"/>
  <c r="O105" i="35"/>
  <c r="R23" i="35"/>
  <c r="N23" i="35"/>
  <c r="N31" i="35"/>
  <c r="M72" i="35"/>
  <c r="U72" i="35" s="1"/>
  <c r="O72" i="35"/>
  <c r="P73" i="35"/>
  <c r="M45" i="35"/>
  <c r="U45" i="35" s="1"/>
  <c r="P46" i="35"/>
  <c r="Q45" i="35" s="1"/>
  <c r="R45" i="35"/>
  <c r="O45" i="35"/>
  <c r="N45" i="35"/>
  <c r="R87" i="35"/>
  <c r="N87" i="35"/>
  <c r="R21" i="35"/>
  <c r="P21" i="35"/>
  <c r="R27" i="35"/>
  <c r="P27" i="35"/>
  <c r="N27" i="35"/>
  <c r="M27" i="35"/>
  <c r="U27" i="35" s="1"/>
  <c r="R95" i="35"/>
  <c r="N95" i="35"/>
  <c r="R114" i="35"/>
  <c r="N114" i="35"/>
  <c r="O11" i="35"/>
  <c r="P54" i="35"/>
  <c r="Q53" i="35" s="1"/>
  <c r="O80" i="35"/>
  <c r="R53" i="35"/>
  <c r="M50" i="35"/>
  <c r="U50" i="35" s="1"/>
  <c r="M105" i="35"/>
  <c r="U105" i="35" s="1"/>
  <c r="Q15" i="35"/>
  <c r="M5" i="35"/>
  <c r="O5" i="35"/>
  <c r="P5" i="35"/>
  <c r="R5" i="35" s="1"/>
  <c r="S5" i="35" s="1"/>
  <c r="N5" i="35"/>
  <c r="M33" i="35"/>
  <c r="U33" i="35" s="1"/>
  <c r="R33" i="35"/>
  <c r="O33" i="35"/>
  <c r="N33" i="35"/>
  <c r="P33" i="35"/>
  <c r="Q33" i="35" s="1"/>
  <c r="M25" i="35"/>
  <c r="U25" i="35" s="1"/>
  <c r="R25" i="35"/>
  <c r="O25" i="35"/>
  <c r="N25" i="35"/>
  <c r="P25" i="35"/>
  <c r="Q25" i="35" s="1"/>
  <c r="M17" i="35"/>
  <c r="U17" i="35" s="1"/>
  <c r="R17" i="35"/>
  <c r="O17" i="35"/>
  <c r="N17" i="35"/>
  <c r="P17" i="35"/>
  <c r="Q17" i="35" s="1"/>
  <c r="N29" i="35"/>
  <c r="M29" i="35"/>
  <c r="U29" i="35" s="1"/>
  <c r="P36" i="35"/>
  <c r="Q35" i="35" s="1"/>
  <c r="O35" i="35"/>
  <c r="M35" i="35"/>
  <c r="U35" i="35" s="1"/>
  <c r="P44" i="35"/>
  <c r="Q43" i="35" s="1"/>
  <c r="O43" i="35"/>
  <c r="M43" i="35"/>
  <c r="U43" i="35" s="1"/>
  <c r="M64" i="35"/>
  <c r="U64" i="35" s="1"/>
  <c r="N78" i="35"/>
  <c r="R78" i="35"/>
  <c r="R92" i="35"/>
  <c r="P93" i="35"/>
  <c r="P60" i="35"/>
  <c r="Q59" i="35" s="1"/>
  <c r="O59" i="35"/>
  <c r="M59" i="35"/>
  <c r="U59" i="35" s="1"/>
  <c r="N62" i="35"/>
  <c r="R62" i="35"/>
  <c r="P12" i="35"/>
  <c r="P29" i="35"/>
  <c r="Q29" i="35" s="1"/>
  <c r="P31" i="35"/>
  <c r="Q31" i="35" s="1"/>
  <c r="O31" i="35"/>
  <c r="M31" i="35"/>
  <c r="U31" i="35" s="1"/>
  <c r="P63" i="35"/>
  <c r="Q62" i="35" s="1"/>
  <c r="P76" i="35"/>
  <c r="Q75" i="35" s="1"/>
  <c r="O75" i="35"/>
  <c r="M75" i="35"/>
  <c r="U75" i="35" s="1"/>
  <c r="R75" i="35"/>
  <c r="R100" i="35"/>
  <c r="S100" i="35" s="1"/>
  <c r="O100" i="35"/>
  <c r="P101" i="35"/>
  <c r="Q100" i="35" s="1"/>
  <c r="N100" i="35"/>
  <c r="P7" i="35"/>
  <c r="M7" i="35"/>
  <c r="U7" i="35" s="1"/>
  <c r="M89" i="35"/>
  <c r="U89" i="35" s="1"/>
  <c r="R89" i="35"/>
  <c r="P90" i="35"/>
  <c r="Q89" i="35" s="1"/>
  <c r="O89" i="35"/>
  <c r="R111" i="35"/>
  <c r="P112" i="35"/>
  <c r="Q111" i="35" s="1"/>
  <c r="O111" i="35"/>
  <c r="N111" i="35"/>
  <c r="M111" i="35"/>
  <c r="U111" i="35" s="1"/>
  <c r="P119" i="35"/>
  <c r="Q118" i="35" s="1"/>
  <c r="O118" i="35"/>
  <c r="N118" i="35"/>
  <c r="M118" i="35"/>
  <c r="U118" i="35" s="1"/>
  <c r="R118" i="35"/>
  <c r="N56" i="35"/>
  <c r="P58" i="35"/>
  <c r="Q56" i="35" s="1"/>
  <c r="P48" i="35"/>
  <c r="Q47" i="35" s="1"/>
  <c r="O47" i="35"/>
  <c r="M47" i="35"/>
  <c r="U47" i="35" s="1"/>
  <c r="N64" i="35"/>
  <c r="P66" i="35"/>
  <c r="Q64" i="35" s="1"/>
  <c r="P68" i="35"/>
  <c r="Q67" i="35" s="1"/>
  <c r="O67" i="35"/>
  <c r="M67" i="35"/>
  <c r="U67" i="35" s="1"/>
  <c r="N70" i="35"/>
  <c r="R70" i="35"/>
  <c r="S70" i="35" s="1"/>
  <c r="R82" i="35"/>
  <c r="P83" i="35"/>
  <c r="Q82" i="35" s="1"/>
  <c r="O82" i="35"/>
  <c r="N82" i="35"/>
  <c r="M82" i="35"/>
  <c r="U82" i="35" s="1"/>
  <c r="N7" i="35"/>
  <c r="N11" i="35"/>
  <c r="R11" i="35"/>
  <c r="P11" i="35"/>
  <c r="M15" i="35"/>
  <c r="U15" i="35" s="1"/>
  <c r="M19" i="35"/>
  <c r="U19" i="35" s="1"/>
  <c r="N35" i="35"/>
  <c r="P39" i="35"/>
  <c r="Q39" i="35" s="1"/>
  <c r="O39" i="35"/>
  <c r="N41" i="35"/>
  <c r="N43" i="35"/>
  <c r="O64" i="35"/>
  <c r="P71" i="35"/>
  <c r="Q70" i="35" s="1"/>
  <c r="N72" i="35"/>
  <c r="P74" i="35"/>
  <c r="P13" i="35"/>
  <c r="Q13" i="35" s="1"/>
  <c r="M13" i="35"/>
  <c r="U13" i="35" s="1"/>
  <c r="R13" i="35"/>
  <c r="O37" i="35"/>
  <c r="N37" i="35"/>
  <c r="M37" i="35"/>
  <c r="U37" i="35" s="1"/>
  <c r="P9" i="35"/>
  <c r="O9" i="35"/>
  <c r="M9" i="35"/>
  <c r="U9" i="35" s="1"/>
  <c r="O13" i="35"/>
  <c r="P28" i="35"/>
  <c r="O27" i="35"/>
  <c r="R31" i="35"/>
  <c r="R37" i="35"/>
  <c r="N39" i="35"/>
  <c r="N59" i="35"/>
  <c r="R15" i="35"/>
  <c r="O15" i="35"/>
  <c r="N15" i="35"/>
  <c r="R29" i="35"/>
  <c r="S29" i="35" s="1"/>
  <c r="R50" i="35"/>
  <c r="P51" i="35"/>
  <c r="Q50" i="35" s="1"/>
  <c r="O50" i="35"/>
  <c r="N50" i="35"/>
  <c r="M11" i="35"/>
  <c r="U11" i="35" s="1"/>
  <c r="R7" i="35"/>
  <c r="N9" i="35"/>
  <c r="P23" i="35"/>
  <c r="Q23" i="35" s="1"/>
  <c r="O23" i="35"/>
  <c r="M23" i="35"/>
  <c r="U23" i="35" s="1"/>
  <c r="R35" i="35"/>
  <c r="R39" i="35"/>
  <c r="R43" i="35"/>
  <c r="M56" i="35"/>
  <c r="U56" i="35" s="1"/>
  <c r="M62" i="35"/>
  <c r="U62" i="35" s="1"/>
  <c r="M78" i="35"/>
  <c r="U78" i="35" s="1"/>
  <c r="R84" i="35"/>
  <c r="P85" i="35"/>
  <c r="Q84" i="35" s="1"/>
  <c r="O84" i="35"/>
  <c r="N84" i="35"/>
  <c r="R98" i="35"/>
  <c r="P99" i="35"/>
  <c r="Q98" i="35" s="1"/>
  <c r="O98" i="35"/>
  <c r="N98" i="35"/>
  <c r="M98" i="35"/>
  <c r="U98" i="35" s="1"/>
  <c r="M108" i="35"/>
  <c r="U108" i="35" s="1"/>
  <c r="P121" i="35"/>
  <c r="Q120" i="35" s="1"/>
  <c r="O120" i="35"/>
  <c r="N120" i="35"/>
  <c r="M120" i="35"/>
  <c r="U120" i="35" s="1"/>
  <c r="R120" i="35"/>
  <c r="P20" i="35"/>
  <c r="Q19" i="35" s="1"/>
  <c r="O19" i="35"/>
  <c r="M41" i="35"/>
  <c r="U41" i="35" s="1"/>
  <c r="R41" i="35"/>
  <c r="O41" i="35"/>
  <c r="O7" i="35"/>
  <c r="R9" i="35"/>
  <c r="R19" i="35"/>
  <c r="N47" i="35"/>
  <c r="O53" i="35"/>
  <c r="N53" i="35"/>
  <c r="R59" i="35"/>
  <c r="S59" i="35" s="1"/>
  <c r="O62" i="35"/>
  <c r="N67" i="35"/>
  <c r="N75" i="35"/>
  <c r="O78" i="35"/>
  <c r="M92" i="35"/>
  <c r="U92" i="35" s="1"/>
  <c r="P110" i="35"/>
  <c r="N108" i="35"/>
  <c r="R56" i="35"/>
  <c r="R64" i="35"/>
  <c r="R72" i="35"/>
  <c r="R80" i="35"/>
  <c r="S80" i="35" s="1"/>
  <c r="M87" i="35"/>
  <c r="U87" i="35" s="1"/>
  <c r="M95" i="35"/>
  <c r="U95" i="35" s="1"/>
  <c r="O108" i="35"/>
  <c r="P109" i="35"/>
  <c r="M114" i="35"/>
  <c r="U114" i="35" s="1"/>
  <c r="O116" i="35"/>
  <c r="P117" i="35"/>
  <c r="Q116" i="35" s="1"/>
  <c r="O87" i="35"/>
  <c r="P88" i="35"/>
  <c r="Q87" i="35" s="1"/>
  <c r="O95" i="35"/>
  <c r="P96" i="35"/>
  <c r="Q95" i="35" s="1"/>
  <c r="P104" i="35"/>
  <c r="R105" i="35"/>
  <c r="P107" i="35"/>
  <c r="Q105" i="35" s="1"/>
  <c r="O114" i="35"/>
  <c r="P115" i="35"/>
  <c r="Q114" i="35" s="1"/>
  <c r="R108" i="35"/>
  <c r="S108" i="35" s="1"/>
  <c r="R116" i="35"/>
  <c r="S116" i="35" s="1"/>
  <c r="P186" i="36" l="1"/>
  <c r="G188" i="36"/>
  <c r="L187" i="36"/>
  <c r="P187" i="36" s="1"/>
  <c r="S184" i="36"/>
  <c r="O21" i="35"/>
  <c r="M39" i="35"/>
  <c r="U39" i="35" s="1"/>
  <c r="Q11" i="35"/>
  <c r="Q21" i="35"/>
  <c r="S53" i="35"/>
  <c r="S84" i="35"/>
  <c r="S50" i="35"/>
  <c r="M21" i="35"/>
  <c r="U21" i="35" s="1"/>
  <c r="N21" i="35"/>
  <c r="S25" i="35"/>
  <c r="R102" i="35"/>
  <c r="S35" i="35"/>
  <c r="S33" i="35"/>
  <c r="M102" i="35"/>
  <c r="U102" i="35" s="1"/>
  <c r="O102" i="35"/>
  <c r="Q102" i="35"/>
  <c r="N102" i="35"/>
  <c r="S19" i="35"/>
  <c r="S120" i="35"/>
  <c r="S31" i="35"/>
  <c r="S105" i="35"/>
  <c r="S64" i="35"/>
  <c r="S56" i="35"/>
  <c r="N92" i="35"/>
  <c r="O92" i="35"/>
  <c r="S27" i="35"/>
  <c r="S45" i="35"/>
  <c r="Q72" i="35"/>
  <c r="Q92" i="35"/>
  <c r="S118" i="35"/>
  <c r="S72" i="35"/>
  <c r="S37" i="35"/>
  <c r="S43" i="35"/>
  <c r="S7" i="35"/>
  <c r="Q27" i="35"/>
  <c r="S13" i="35"/>
  <c r="S41" i="35"/>
  <c r="S82" i="35"/>
  <c r="S15" i="35"/>
  <c r="Q108" i="35"/>
  <c r="S98" i="35"/>
  <c r="S78" i="35"/>
  <c r="S23" i="35"/>
  <c r="S87" i="35"/>
  <c r="S95" i="35"/>
  <c r="S11" i="35"/>
  <c r="S111" i="35"/>
  <c r="S67" i="35"/>
  <c r="S62" i="35"/>
  <c r="S9" i="35"/>
  <c r="S114" i="35"/>
  <c r="S89" i="35"/>
  <c r="S75" i="35"/>
  <c r="S92" i="35"/>
  <c r="S17" i="35"/>
  <c r="S47" i="35"/>
  <c r="O186" i="36" l="1"/>
  <c r="N186" i="36"/>
  <c r="Q186" i="36"/>
  <c r="R186" i="36"/>
  <c r="G189" i="36"/>
  <c r="L188" i="36"/>
  <c r="M186" i="36"/>
  <c r="U186" i="36" s="1"/>
  <c r="S39" i="35"/>
  <c r="S21" i="35"/>
  <c r="S102" i="35"/>
  <c r="P188" i="36" l="1"/>
  <c r="G190" i="36"/>
  <c r="L189" i="36"/>
  <c r="P189" i="36" s="1"/>
  <c r="Q188" i="36" s="1"/>
  <c r="S186" i="36"/>
  <c r="L6" i="25"/>
  <c r="L5" i="25"/>
  <c r="M78" i="25"/>
  <c r="R188" i="36" l="1"/>
  <c r="G191" i="36"/>
  <c r="L190" i="36"/>
  <c r="M188" i="36"/>
  <c r="U188" i="36" s="1"/>
  <c r="N188" i="36"/>
  <c r="O188" i="36"/>
  <c r="P15" i="34"/>
  <c r="J42" i="34"/>
  <c r="I42" i="34" s="1"/>
  <c r="L42" i="34" s="1"/>
  <c r="P43" i="34"/>
  <c r="K43" i="34"/>
  <c r="I43" i="34" s="1"/>
  <c r="P41" i="34"/>
  <c r="K41" i="34"/>
  <c r="I41" i="34" s="1"/>
  <c r="J40" i="34"/>
  <c r="I40" i="34" s="1"/>
  <c r="L40" i="34" s="1"/>
  <c r="P40" i="34" s="1"/>
  <c r="I39" i="34"/>
  <c r="L39" i="34" s="1"/>
  <c r="J38" i="34"/>
  <c r="I38" i="34" s="1"/>
  <c r="L38" i="34" s="1"/>
  <c r="I37" i="34"/>
  <c r="L37" i="34" s="1"/>
  <c r="J36" i="34"/>
  <c r="I36" i="34" s="1"/>
  <c r="L36" i="34" s="1"/>
  <c r="I35" i="34"/>
  <c r="L35" i="34" s="1"/>
  <c r="J34" i="34"/>
  <c r="I34" i="34" s="1"/>
  <c r="L34" i="34" s="1"/>
  <c r="I33" i="34"/>
  <c r="L33" i="34" s="1"/>
  <c r="J32" i="34"/>
  <c r="I32" i="34" s="1"/>
  <c r="L32" i="34" s="1"/>
  <c r="I31" i="34"/>
  <c r="L31" i="34" s="1"/>
  <c r="J30" i="34"/>
  <c r="I30" i="34" s="1"/>
  <c r="L30" i="34" s="1"/>
  <c r="P30" i="34" s="1"/>
  <c r="I29" i="34"/>
  <c r="L29" i="34" s="1"/>
  <c r="J28" i="34"/>
  <c r="I28" i="34" s="1"/>
  <c r="L28" i="34" s="1"/>
  <c r="P28" i="34" s="1"/>
  <c r="I27" i="34"/>
  <c r="L27" i="34" s="1"/>
  <c r="J26" i="34"/>
  <c r="I26" i="34" s="1"/>
  <c r="L26" i="34" s="1"/>
  <c r="I25" i="34"/>
  <c r="L25" i="34" s="1"/>
  <c r="J24" i="34"/>
  <c r="I24" i="34" s="1"/>
  <c r="L24" i="34" s="1"/>
  <c r="I23" i="34"/>
  <c r="L23" i="34" s="1"/>
  <c r="J22" i="34"/>
  <c r="I22" i="34" s="1"/>
  <c r="L22" i="34" s="1"/>
  <c r="I21" i="34"/>
  <c r="L21" i="34" s="1"/>
  <c r="J20" i="34"/>
  <c r="I20" i="34" s="1"/>
  <c r="L20" i="34" s="1"/>
  <c r="P20" i="34" s="1"/>
  <c r="I19" i="34"/>
  <c r="L19" i="34" s="1"/>
  <c r="J18" i="34"/>
  <c r="I18" i="34" s="1"/>
  <c r="L18" i="34" s="1"/>
  <c r="I17" i="34"/>
  <c r="L17" i="34" s="1"/>
  <c r="P17" i="34" s="1"/>
  <c r="I16" i="34"/>
  <c r="L16" i="34" s="1"/>
  <c r="P16" i="34" s="1"/>
  <c r="I15" i="34"/>
  <c r="L15" i="34" s="1"/>
  <c r="K14" i="34"/>
  <c r="I14" i="34" s="1"/>
  <c r="L14" i="34" s="1"/>
  <c r="P14" i="34" s="1"/>
  <c r="J13" i="34"/>
  <c r="I13" i="34" s="1"/>
  <c r="L13" i="34" s="1"/>
  <c r="I12" i="34"/>
  <c r="L12" i="34" s="1"/>
  <c r="R12" i="34" s="1"/>
  <c r="J11" i="34"/>
  <c r="I11" i="34" s="1"/>
  <c r="L11" i="34" s="1"/>
  <c r="P11" i="34" s="1"/>
  <c r="I10" i="34"/>
  <c r="L10" i="34" s="1"/>
  <c r="K9" i="34"/>
  <c r="I9" i="34" s="1"/>
  <c r="L9" i="34" s="1"/>
  <c r="P9" i="34" s="1"/>
  <c r="J8" i="34"/>
  <c r="I8" i="34" s="1"/>
  <c r="L8" i="34" s="1"/>
  <c r="P8" i="34" s="1"/>
  <c r="I7" i="34"/>
  <c r="L7" i="34" s="1"/>
  <c r="J6" i="34"/>
  <c r="I6" i="34" s="1"/>
  <c r="L6" i="34" s="1"/>
  <c r="P6" i="34" s="1"/>
  <c r="L5" i="34"/>
  <c r="P190" i="36" l="1"/>
  <c r="G192" i="36"/>
  <c r="L191" i="36"/>
  <c r="P191" i="36" s="1"/>
  <c r="S188" i="36"/>
  <c r="M42" i="34"/>
  <c r="N42" i="34"/>
  <c r="O42" i="34"/>
  <c r="P42" i="34"/>
  <c r="N35" i="34"/>
  <c r="M25" i="34"/>
  <c r="U25" i="34" s="1"/>
  <c r="P25" i="34"/>
  <c r="R23" i="34"/>
  <c r="N17" i="34"/>
  <c r="M17" i="34"/>
  <c r="U17" i="34" s="1"/>
  <c r="P18" i="34"/>
  <c r="Q17" i="34" s="1"/>
  <c r="O17" i="34"/>
  <c r="N29" i="34"/>
  <c r="M29" i="34"/>
  <c r="U29" i="34" s="1"/>
  <c r="O29" i="34"/>
  <c r="P19" i="34"/>
  <c r="Q19" i="34" s="1"/>
  <c r="O19" i="34"/>
  <c r="N19" i="34"/>
  <c r="M19" i="34"/>
  <c r="U19" i="34" s="1"/>
  <c r="R19" i="34"/>
  <c r="R29" i="34"/>
  <c r="Q29" i="34"/>
  <c r="M35" i="34"/>
  <c r="P36" i="34"/>
  <c r="N10" i="34"/>
  <c r="M10" i="34"/>
  <c r="P10" i="34"/>
  <c r="O10" i="34"/>
  <c r="P24" i="34"/>
  <c r="O23" i="34"/>
  <c r="M23" i="34"/>
  <c r="U23" i="34" s="1"/>
  <c r="N23" i="34"/>
  <c r="R15" i="34"/>
  <c r="M15" i="34"/>
  <c r="Q15" i="34"/>
  <c r="U15" i="34" s="1"/>
  <c r="N15" i="34"/>
  <c r="O15" i="34"/>
  <c r="P21" i="34"/>
  <c r="O21" i="34"/>
  <c r="N21" i="34"/>
  <c r="M21" i="34"/>
  <c r="U21" i="34" s="1"/>
  <c r="N31" i="34"/>
  <c r="M31" i="34"/>
  <c r="P31" i="34"/>
  <c r="O31" i="34"/>
  <c r="P27" i="34"/>
  <c r="O27" i="34"/>
  <c r="N27" i="34"/>
  <c r="M27" i="34"/>
  <c r="U27" i="34" s="1"/>
  <c r="M12" i="34"/>
  <c r="S12" i="34" s="1"/>
  <c r="P13" i="34"/>
  <c r="N12" i="34"/>
  <c r="P38" i="34"/>
  <c r="O37" i="34"/>
  <c r="N37" i="34"/>
  <c r="M37" i="34"/>
  <c r="P7" i="34"/>
  <c r="O7" i="34"/>
  <c r="N7" i="34"/>
  <c r="M7" i="34"/>
  <c r="N5" i="34"/>
  <c r="M5" i="34"/>
  <c r="O5" i="34"/>
  <c r="P5" i="34"/>
  <c r="O25" i="34"/>
  <c r="N25" i="34"/>
  <c r="P26" i="34"/>
  <c r="R25" i="34"/>
  <c r="S25" i="34" s="1"/>
  <c r="P33" i="34"/>
  <c r="O33" i="34"/>
  <c r="N33" i="34"/>
  <c r="M33" i="34"/>
  <c r="P39" i="34"/>
  <c r="O39" i="34"/>
  <c r="N39" i="34"/>
  <c r="M39" i="34"/>
  <c r="O12" i="34"/>
  <c r="P12" i="34"/>
  <c r="P23" i="34"/>
  <c r="O35" i="34"/>
  <c r="N190" i="36" l="1"/>
  <c r="G193" i="36"/>
  <c r="L192" i="36"/>
  <c r="O190" i="36"/>
  <c r="M190" i="36"/>
  <c r="U190" i="36" s="1"/>
  <c r="R190" i="36"/>
  <c r="Q190" i="36"/>
  <c r="R17" i="34"/>
  <c r="Q25" i="34"/>
  <c r="S19" i="34"/>
  <c r="Q42" i="34"/>
  <c r="U42" i="34" s="1"/>
  <c r="R42" i="34"/>
  <c r="Q23" i="34"/>
  <c r="S15" i="34"/>
  <c r="S17" i="34"/>
  <c r="Q12" i="34"/>
  <c r="U12" i="34" s="1"/>
  <c r="Q33" i="34"/>
  <c r="U33" i="34" s="1"/>
  <c r="R33" i="34"/>
  <c r="Q27" i="34"/>
  <c r="R27" i="34"/>
  <c r="Q21" i="34"/>
  <c r="R21" i="34"/>
  <c r="R10" i="34"/>
  <c r="Q10" i="34"/>
  <c r="U10" i="34" s="1"/>
  <c r="S29" i="34"/>
  <c r="Q37" i="34"/>
  <c r="U37" i="34" s="1"/>
  <c r="R37" i="34"/>
  <c r="R31" i="34"/>
  <c r="Q31" i="34"/>
  <c r="U31" i="34" s="1"/>
  <c r="S23" i="34"/>
  <c r="Q5" i="34"/>
  <c r="U5" i="34" s="1"/>
  <c r="U45" i="34" s="1"/>
  <c r="R5" i="34"/>
  <c r="R39" i="34"/>
  <c r="Q39" i="34"/>
  <c r="U39" i="34" s="1"/>
  <c r="Q7" i="34"/>
  <c r="R7" i="34"/>
  <c r="R35" i="34"/>
  <c r="Q35" i="34"/>
  <c r="U35" i="34" s="1"/>
  <c r="S190" i="36" l="1"/>
  <c r="G194" i="36"/>
  <c r="L193" i="36"/>
  <c r="P193" i="36" s="1"/>
  <c r="P192" i="36"/>
  <c r="Q192" i="36" s="1"/>
  <c r="R192" i="36"/>
  <c r="O192" i="36"/>
  <c r="N192" i="36"/>
  <c r="S5" i="34"/>
  <c r="S33" i="34"/>
  <c r="S7" i="34"/>
  <c r="S27" i="34"/>
  <c r="S42" i="34"/>
  <c r="S37" i="34"/>
  <c r="S21" i="34"/>
  <c r="S35" i="34"/>
  <c r="S10" i="34"/>
  <c r="V1" i="34"/>
  <c r="S39" i="34"/>
  <c r="S31" i="34"/>
  <c r="M192" i="36" l="1"/>
  <c r="U192" i="36" s="1"/>
  <c r="G195" i="36"/>
  <c r="L194" i="36"/>
  <c r="Q11" i="25"/>
  <c r="Q9" i="25"/>
  <c r="Q7" i="25"/>
  <c r="Q5" i="25"/>
  <c r="U152" i="32"/>
  <c r="K152" i="32"/>
  <c r="L152" i="32" s="1"/>
  <c r="P152" i="32" s="1"/>
  <c r="K151" i="32"/>
  <c r="L151" i="32" s="1"/>
  <c r="P151" i="32" s="1"/>
  <c r="Q151" i="32" s="1"/>
  <c r="D151" i="32"/>
  <c r="C151" i="32"/>
  <c r="B151" i="32"/>
  <c r="U150" i="32"/>
  <c r="K150" i="32"/>
  <c r="L150" i="32" s="1"/>
  <c r="P150" i="32" s="1"/>
  <c r="K149" i="32"/>
  <c r="D149" i="32"/>
  <c r="C149" i="32"/>
  <c r="B149" i="32"/>
  <c r="U148" i="32"/>
  <c r="K148" i="32"/>
  <c r="K147" i="32"/>
  <c r="L147" i="32" s="1"/>
  <c r="D147" i="32"/>
  <c r="C147" i="32"/>
  <c r="B147" i="32"/>
  <c r="U146" i="32"/>
  <c r="K146" i="32"/>
  <c r="K145" i="32"/>
  <c r="L145" i="32"/>
  <c r="D145" i="32"/>
  <c r="C145" i="32"/>
  <c r="B145" i="32"/>
  <c r="U144" i="32"/>
  <c r="K144" i="32"/>
  <c r="L144" i="32" s="1"/>
  <c r="P144" i="32" s="1"/>
  <c r="L143" i="32"/>
  <c r="P143" i="32" s="1"/>
  <c r="K143" i="32"/>
  <c r="D143" i="32"/>
  <c r="C143" i="32"/>
  <c r="B143" i="32"/>
  <c r="U142" i="32"/>
  <c r="K142" i="32"/>
  <c r="L142" i="32" s="1"/>
  <c r="P142" i="32" s="1"/>
  <c r="K141" i="32"/>
  <c r="D141" i="32"/>
  <c r="C141" i="32"/>
  <c r="B141" i="32"/>
  <c r="U140" i="32"/>
  <c r="K140" i="32"/>
  <c r="L140" i="32" s="1"/>
  <c r="P140" i="32" s="1"/>
  <c r="J140" i="32"/>
  <c r="I140" i="32"/>
  <c r="L139" i="32"/>
  <c r="K139" i="32"/>
  <c r="J139" i="32"/>
  <c r="I139" i="32"/>
  <c r="D139" i="32"/>
  <c r="C139" i="32"/>
  <c r="B139" i="32"/>
  <c r="U138" i="32"/>
  <c r="L138" i="32"/>
  <c r="P138" i="32" s="1"/>
  <c r="K138" i="32"/>
  <c r="J138" i="32"/>
  <c r="I138" i="32"/>
  <c r="K137" i="32"/>
  <c r="L137" i="32" s="1"/>
  <c r="J137" i="32"/>
  <c r="I137" i="32"/>
  <c r="D137" i="32"/>
  <c r="C137" i="32"/>
  <c r="B137" i="32"/>
  <c r="U136" i="32"/>
  <c r="K136" i="32"/>
  <c r="L136" i="32" s="1"/>
  <c r="P136" i="32" s="1"/>
  <c r="L135" i="32"/>
  <c r="K135" i="32"/>
  <c r="D135" i="32"/>
  <c r="C135" i="32"/>
  <c r="B135" i="32"/>
  <c r="U134" i="32"/>
  <c r="K134" i="32"/>
  <c r="L134" i="32" s="1"/>
  <c r="P134" i="32" s="1"/>
  <c r="K133" i="32"/>
  <c r="D133" i="32"/>
  <c r="C133" i="32"/>
  <c r="B133" i="32"/>
  <c r="U132" i="32"/>
  <c r="K132" i="32"/>
  <c r="L132" i="32" s="1"/>
  <c r="P132" i="32" s="1"/>
  <c r="K131" i="32"/>
  <c r="L131" i="32" s="1"/>
  <c r="D131" i="32"/>
  <c r="C131" i="32"/>
  <c r="B131" i="32"/>
  <c r="U130" i="32"/>
  <c r="K130" i="32"/>
  <c r="L130" i="32" s="1"/>
  <c r="K129" i="32"/>
  <c r="L129" i="32" s="1"/>
  <c r="J129" i="32"/>
  <c r="I129" i="32"/>
  <c r="D129" i="32"/>
  <c r="C129" i="32"/>
  <c r="B129" i="32"/>
  <c r="U128" i="32"/>
  <c r="K128" i="32"/>
  <c r="L128" i="32" s="1"/>
  <c r="N127" i="32" s="1"/>
  <c r="K127" i="32"/>
  <c r="L127" i="32" s="1"/>
  <c r="P127" i="32" s="1"/>
  <c r="D127" i="32"/>
  <c r="C127" i="32"/>
  <c r="B127" i="32"/>
  <c r="U126" i="32"/>
  <c r="K126" i="32"/>
  <c r="L126" i="32" s="1"/>
  <c r="P126" i="32" s="1"/>
  <c r="K125" i="32"/>
  <c r="L125" i="32" s="1"/>
  <c r="D125" i="32"/>
  <c r="C125" i="32"/>
  <c r="B125" i="32"/>
  <c r="U124" i="32"/>
  <c r="K124" i="32"/>
  <c r="K123" i="32"/>
  <c r="L124" i="32"/>
  <c r="P124" i="32" s="1"/>
  <c r="D123" i="32"/>
  <c r="C123" i="32"/>
  <c r="B123" i="32"/>
  <c r="U122" i="32"/>
  <c r="K122" i="32"/>
  <c r="L122" i="32" s="1"/>
  <c r="P122" i="32" s="1"/>
  <c r="K121" i="32"/>
  <c r="L121" i="32" s="1"/>
  <c r="D121" i="32"/>
  <c r="C121" i="32"/>
  <c r="B121" i="32"/>
  <c r="U120" i="32"/>
  <c r="K120" i="32"/>
  <c r="L120" i="32" s="1"/>
  <c r="P120" i="32" s="1"/>
  <c r="K119" i="32"/>
  <c r="D119" i="32"/>
  <c r="C119" i="32"/>
  <c r="B119" i="32"/>
  <c r="U118" i="32"/>
  <c r="K118" i="32"/>
  <c r="L118" i="32" s="1"/>
  <c r="P118" i="32" s="1"/>
  <c r="K117" i="32"/>
  <c r="L117" i="32" s="1"/>
  <c r="D117" i="32"/>
  <c r="C117" i="32"/>
  <c r="B117" i="32"/>
  <c r="U116" i="32"/>
  <c r="K116" i="32"/>
  <c r="L116" i="32" s="1"/>
  <c r="P116" i="32" s="1"/>
  <c r="K115" i="32"/>
  <c r="D115" i="32"/>
  <c r="C115" i="32"/>
  <c r="B115" i="32"/>
  <c r="U114" i="32"/>
  <c r="P114" i="32"/>
  <c r="K114" i="32"/>
  <c r="L114" i="32" s="1"/>
  <c r="K113" i="32"/>
  <c r="L113" i="32" s="1"/>
  <c r="M113" i="32" s="1"/>
  <c r="U113" i="32" s="1"/>
  <c r="D113" i="32"/>
  <c r="C113" i="32"/>
  <c r="B113" i="32"/>
  <c r="U112" i="32"/>
  <c r="K112" i="32"/>
  <c r="L112" i="32" s="1"/>
  <c r="P112" i="32" s="1"/>
  <c r="K111" i="32"/>
  <c r="D111" i="32"/>
  <c r="C111" i="32"/>
  <c r="B111" i="32"/>
  <c r="U110" i="32"/>
  <c r="K110" i="32"/>
  <c r="L110" i="32" s="1"/>
  <c r="P110" i="32" s="1"/>
  <c r="K109" i="32"/>
  <c r="L109" i="32" s="1"/>
  <c r="D109" i="32"/>
  <c r="C109" i="32"/>
  <c r="B109" i="32"/>
  <c r="U108" i="32"/>
  <c r="K108" i="32"/>
  <c r="K107" i="32"/>
  <c r="D107" i="32"/>
  <c r="C107" i="32"/>
  <c r="B107" i="32"/>
  <c r="U106" i="32"/>
  <c r="K106" i="32"/>
  <c r="K105" i="32"/>
  <c r="L105" i="32" s="1"/>
  <c r="D105" i="32"/>
  <c r="C105" i="32"/>
  <c r="B105" i="32"/>
  <c r="U104" i="32"/>
  <c r="L104" i="32"/>
  <c r="P104" i="32" s="1"/>
  <c r="K104" i="32"/>
  <c r="K103" i="32"/>
  <c r="L103" i="32" s="1"/>
  <c r="D103" i="32"/>
  <c r="C103" i="32"/>
  <c r="B103" i="32"/>
  <c r="U102" i="32"/>
  <c r="K102" i="32"/>
  <c r="L102" i="32" s="1"/>
  <c r="P102" i="32" s="1"/>
  <c r="K101" i="32"/>
  <c r="L101" i="32" s="1"/>
  <c r="D101" i="32"/>
  <c r="C101" i="32"/>
  <c r="B101" i="32"/>
  <c r="U100" i="32"/>
  <c r="K100" i="32"/>
  <c r="L100" i="32" s="1"/>
  <c r="P100" i="32" s="1"/>
  <c r="K99" i="32"/>
  <c r="L99" i="32" s="1"/>
  <c r="D99" i="32"/>
  <c r="C99" i="32"/>
  <c r="B99" i="32"/>
  <c r="U98" i="32"/>
  <c r="K98" i="32"/>
  <c r="L98" i="32" s="1"/>
  <c r="P98" i="32" s="1"/>
  <c r="K97" i="32"/>
  <c r="L97" i="32" s="1"/>
  <c r="D97" i="32"/>
  <c r="C97" i="32"/>
  <c r="B97" i="32"/>
  <c r="U96" i="32"/>
  <c r="K96" i="32"/>
  <c r="L96" i="32" s="1"/>
  <c r="P96" i="32" s="1"/>
  <c r="K95" i="32"/>
  <c r="L95" i="32" s="1"/>
  <c r="D95" i="32"/>
  <c r="C95" i="32"/>
  <c r="B95" i="32"/>
  <c r="U94" i="32"/>
  <c r="K94" i="32"/>
  <c r="L94" i="32" s="1"/>
  <c r="P94" i="32" s="1"/>
  <c r="K93" i="32"/>
  <c r="L93" i="32" s="1"/>
  <c r="D93" i="32"/>
  <c r="C93" i="32"/>
  <c r="B93" i="32"/>
  <c r="U92" i="32"/>
  <c r="K92" i="32"/>
  <c r="L92" i="32" s="1"/>
  <c r="P92" i="32" s="1"/>
  <c r="K91" i="32"/>
  <c r="L91" i="32" s="1"/>
  <c r="O91" i="32" s="1"/>
  <c r="D91" i="32"/>
  <c r="C91" i="32"/>
  <c r="B91" i="32"/>
  <c r="U90" i="32"/>
  <c r="K90" i="32"/>
  <c r="L90" i="32" s="1"/>
  <c r="P90" i="32" s="1"/>
  <c r="K89" i="32"/>
  <c r="L89" i="32" s="1"/>
  <c r="D89" i="32"/>
  <c r="C89" i="32"/>
  <c r="B89" i="32"/>
  <c r="U88" i="32"/>
  <c r="K88" i="32"/>
  <c r="L88" i="32" s="1"/>
  <c r="P88" i="32" s="1"/>
  <c r="K87" i="32"/>
  <c r="L87" i="32" s="1"/>
  <c r="D87" i="32"/>
  <c r="C87" i="32"/>
  <c r="B87" i="32"/>
  <c r="U86" i="32"/>
  <c r="K86" i="32"/>
  <c r="L86" i="32" s="1"/>
  <c r="P86" i="32" s="1"/>
  <c r="K85" i="32"/>
  <c r="L85" i="32" s="1"/>
  <c r="D85" i="32"/>
  <c r="C85" i="32"/>
  <c r="B85" i="32"/>
  <c r="U84" i="32"/>
  <c r="K84" i="32"/>
  <c r="L84" i="32" s="1"/>
  <c r="P84" i="32" s="1"/>
  <c r="K83" i="32"/>
  <c r="L83" i="32" s="1"/>
  <c r="D83" i="32"/>
  <c r="C83" i="32"/>
  <c r="B83" i="32"/>
  <c r="U82" i="32"/>
  <c r="K82" i="32"/>
  <c r="L82" i="32" s="1"/>
  <c r="P82" i="32" s="1"/>
  <c r="K81" i="32"/>
  <c r="L81" i="32" s="1"/>
  <c r="D81" i="32"/>
  <c r="C81" i="32"/>
  <c r="B81" i="32"/>
  <c r="U80" i="32"/>
  <c r="K80" i="32"/>
  <c r="L80" i="32" s="1"/>
  <c r="P80" i="32" s="1"/>
  <c r="K79" i="32"/>
  <c r="L79" i="32" s="1"/>
  <c r="D79" i="32"/>
  <c r="C79" i="32"/>
  <c r="B79" i="32"/>
  <c r="U78" i="32"/>
  <c r="K78" i="32"/>
  <c r="L78" i="32" s="1"/>
  <c r="P78" i="32" s="1"/>
  <c r="K77" i="32"/>
  <c r="L77" i="32" s="1"/>
  <c r="D77" i="32"/>
  <c r="C77" i="32"/>
  <c r="B77" i="32"/>
  <c r="U76" i="32"/>
  <c r="K76" i="32"/>
  <c r="L76" i="32" s="1"/>
  <c r="P76" i="32" s="1"/>
  <c r="K75" i="32"/>
  <c r="L75" i="32" s="1"/>
  <c r="D75" i="32"/>
  <c r="C75" i="32"/>
  <c r="B75" i="32"/>
  <c r="U74" i="32"/>
  <c r="K74" i="32"/>
  <c r="L74" i="32" s="1"/>
  <c r="P74" i="32" s="1"/>
  <c r="K73" i="32"/>
  <c r="L73" i="32" s="1"/>
  <c r="P73" i="32" s="1"/>
  <c r="D73" i="32"/>
  <c r="C73" i="32"/>
  <c r="B73" i="32"/>
  <c r="U72" i="32"/>
  <c r="K72" i="32"/>
  <c r="L72" i="32" s="1"/>
  <c r="P72" i="32" s="1"/>
  <c r="K71" i="32"/>
  <c r="L71" i="32" s="1"/>
  <c r="D71" i="32"/>
  <c r="C71" i="32"/>
  <c r="B71" i="32"/>
  <c r="U70" i="32"/>
  <c r="K70" i="32"/>
  <c r="L70" i="32" s="1"/>
  <c r="P70" i="32" s="1"/>
  <c r="K69" i="32"/>
  <c r="L69" i="32" s="1"/>
  <c r="D69" i="32"/>
  <c r="C69" i="32"/>
  <c r="B69" i="32"/>
  <c r="U68" i="32"/>
  <c r="K68" i="32"/>
  <c r="L68" i="32" s="1"/>
  <c r="P68" i="32" s="1"/>
  <c r="K67" i="32"/>
  <c r="L67" i="32" s="1"/>
  <c r="D67" i="32"/>
  <c r="C67" i="32"/>
  <c r="B67" i="32"/>
  <c r="U66" i="32"/>
  <c r="K66" i="32"/>
  <c r="L66" i="32" s="1"/>
  <c r="P66" i="32" s="1"/>
  <c r="J66" i="32"/>
  <c r="I66" i="32"/>
  <c r="K65" i="32"/>
  <c r="L65" i="32" s="1"/>
  <c r="J65" i="32"/>
  <c r="I65" i="32"/>
  <c r="D65" i="32"/>
  <c r="C65" i="32"/>
  <c r="B65" i="32"/>
  <c r="U64" i="32"/>
  <c r="K64" i="32"/>
  <c r="L64" i="32" s="1"/>
  <c r="P64" i="32" s="1"/>
  <c r="J64" i="32"/>
  <c r="I64" i="32"/>
  <c r="K63" i="32"/>
  <c r="L63" i="32" s="1"/>
  <c r="J63" i="32"/>
  <c r="I63" i="32"/>
  <c r="D63" i="32"/>
  <c r="C63" i="32"/>
  <c r="B63" i="32"/>
  <c r="K62" i="32"/>
  <c r="J62" i="32"/>
  <c r="I62" i="32"/>
  <c r="K61" i="32"/>
  <c r="L61" i="32" s="1"/>
  <c r="J61" i="32"/>
  <c r="I61" i="32"/>
  <c r="L62" i="32"/>
  <c r="P62" i="32" s="1"/>
  <c r="D61" i="32"/>
  <c r="C61" i="32"/>
  <c r="B61" i="32"/>
  <c r="K60" i="32"/>
  <c r="L60" i="32" s="1"/>
  <c r="P60" i="32" s="1"/>
  <c r="J60" i="32"/>
  <c r="I60" i="32"/>
  <c r="K59" i="32"/>
  <c r="L59" i="32" s="1"/>
  <c r="J59" i="32"/>
  <c r="I59" i="32"/>
  <c r="D59" i="32"/>
  <c r="C59" i="32"/>
  <c r="B59" i="32"/>
  <c r="K58" i="32"/>
  <c r="J58" i="32"/>
  <c r="I58" i="32"/>
  <c r="K57" i="32"/>
  <c r="L57" i="32" s="1"/>
  <c r="P57" i="32" s="1"/>
  <c r="J57" i="32"/>
  <c r="I57" i="32"/>
  <c r="D57" i="32"/>
  <c r="C57" i="32"/>
  <c r="B57" i="32"/>
  <c r="K56" i="32"/>
  <c r="L56" i="32" s="1"/>
  <c r="P56" i="32" s="1"/>
  <c r="J56" i="32"/>
  <c r="I56" i="32"/>
  <c r="K55" i="32"/>
  <c r="L55" i="32" s="1"/>
  <c r="M55" i="32" s="1"/>
  <c r="U55" i="32" s="1"/>
  <c r="J55" i="32"/>
  <c r="I55" i="32"/>
  <c r="D55" i="32"/>
  <c r="C55" i="32"/>
  <c r="B55" i="32"/>
  <c r="K54" i="32"/>
  <c r="L54" i="32" s="1"/>
  <c r="P54" i="32" s="1"/>
  <c r="J54" i="32"/>
  <c r="I54" i="32"/>
  <c r="K53" i="32"/>
  <c r="L53" i="32" s="1"/>
  <c r="J53" i="32"/>
  <c r="I53" i="32"/>
  <c r="D53" i="32"/>
  <c r="C53" i="32"/>
  <c r="B53" i="32"/>
  <c r="K52" i="32"/>
  <c r="L52" i="32" s="1"/>
  <c r="P52" i="32" s="1"/>
  <c r="J52" i="32"/>
  <c r="I52" i="32"/>
  <c r="K51" i="32"/>
  <c r="L51" i="32" s="1"/>
  <c r="J51" i="32"/>
  <c r="I51" i="32"/>
  <c r="D51" i="32"/>
  <c r="C51" i="32"/>
  <c r="B51" i="32"/>
  <c r="P50" i="32"/>
  <c r="K50" i="32"/>
  <c r="L50" i="32" s="1"/>
  <c r="J50" i="32"/>
  <c r="I50" i="32"/>
  <c r="K49" i="32"/>
  <c r="L49" i="32" s="1"/>
  <c r="M49" i="32" s="1"/>
  <c r="U49" i="32" s="1"/>
  <c r="J49" i="32"/>
  <c r="I49" i="32"/>
  <c r="D49" i="32"/>
  <c r="C49" i="32"/>
  <c r="B49" i="32"/>
  <c r="K48" i="32"/>
  <c r="L48" i="32" s="1"/>
  <c r="P48" i="32" s="1"/>
  <c r="J48" i="32"/>
  <c r="I48" i="32"/>
  <c r="K47" i="32"/>
  <c r="L47" i="32" s="1"/>
  <c r="J47" i="32"/>
  <c r="I47" i="32"/>
  <c r="D47" i="32"/>
  <c r="C47" i="32"/>
  <c r="B47" i="32"/>
  <c r="K46" i="32"/>
  <c r="L46" i="32" s="1"/>
  <c r="P46" i="32" s="1"/>
  <c r="J46" i="32"/>
  <c r="I46" i="32"/>
  <c r="K45" i="32"/>
  <c r="L45" i="32" s="1"/>
  <c r="J45" i="32"/>
  <c r="I45" i="32"/>
  <c r="D45" i="32"/>
  <c r="C45" i="32"/>
  <c r="B45" i="32"/>
  <c r="K44" i="32"/>
  <c r="L44" i="32" s="1"/>
  <c r="P44" i="32" s="1"/>
  <c r="J44" i="32"/>
  <c r="I44" i="32"/>
  <c r="K43" i="32"/>
  <c r="L43" i="32" s="1"/>
  <c r="J43" i="32"/>
  <c r="I43" i="32"/>
  <c r="D43" i="32"/>
  <c r="C43" i="32"/>
  <c r="B43" i="32"/>
  <c r="K42" i="32"/>
  <c r="L42" i="32" s="1"/>
  <c r="J42" i="32"/>
  <c r="I42" i="32"/>
  <c r="K41" i="32"/>
  <c r="L41" i="32" s="1"/>
  <c r="J41" i="32"/>
  <c r="I41" i="32"/>
  <c r="D41" i="32"/>
  <c r="C41" i="32"/>
  <c r="B41" i="32"/>
  <c r="K40" i="32"/>
  <c r="L40" i="32" s="1"/>
  <c r="P40" i="32" s="1"/>
  <c r="J40" i="32"/>
  <c r="I40" i="32"/>
  <c r="K39" i="32"/>
  <c r="L39" i="32" s="1"/>
  <c r="J39" i="32"/>
  <c r="I39" i="32"/>
  <c r="D39" i="32"/>
  <c r="C39" i="32"/>
  <c r="B39" i="32"/>
  <c r="K38" i="32"/>
  <c r="L38" i="32" s="1"/>
  <c r="P38" i="32" s="1"/>
  <c r="J38" i="32"/>
  <c r="I38" i="32"/>
  <c r="K37" i="32"/>
  <c r="L37" i="32" s="1"/>
  <c r="M37" i="32" s="1"/>
  <c r="U37" i="32" s="1"/>
  <c r="J37" i="32"/>
  <c r="I37" i="32"/>
  <c r="D37" i="32"/>
  <c r="C37" i="32"/>
  <c r="B37" i="32"/>
  <c r="K36" i="32"/>
  <c r="L36" i="32" s="1"/>
  <c r="P36" i="32" s="1"/>
  <c r="J36" i="32"/>
  <c r="I36" i="32"/>
  <c r="K35" i="32"/>
  <c r="L35" i="32" s="1"/>
  <c r="J35" i="32"/>
  <c r="I35" i="32"/>
  <c r="D35" i="32"/>
  <c r="C35" i="32"/>
  <c r="B35" i="32"/>
  <c r="K34" i="32"/>
  <c r="L34" i="32" s="1"/>
  <c r="P34" i="32" s="1"/>
  <c r="J34" i="32"/>
  <c r="I34" i="32"/>
  <c r="K33" i="32"/>
  <c r="L33" i="32" s="1"/>
  <c r="J33" i="32"/>
  <c r="I33" i="32"/>
  <c r="D33" i="32"/>
  <c r="C33" i="32"/>
  <c r="B33" i="32"/>
  <c r="K32" i="32"/>
  <c r="L32" i="32" s="1"/>
  <c r="P32" i="32" s="1"/>
  <c r="J32" i="32"/>
  <c r="I32" i="32"/>
  <c r="K31" i="32"/>
  <c r="L31" i="32" s="1"/>
  <c r="J31" i="32"/>
  <c r="I31" i="32"/>
  <c r="D31" i="32"/>
  <c r="C31" i="32"/>
  <c r="B31" i="32"/>
  <c r="K30" i="32"/>
  <c r="L30" i="32" s="1"/>
  <c r="P30" i="32" s="1"/>
  <c r="J30" i="32"/>
  <c r="I30" i="32"/>
  <c r="K29" i="32"/>
  <c r="L29" i="32" s="1"/>
  <c r="J29" i="32"/>
  <c r="I29" i="32"/>
  <c r="D29" i="32"/>
  <c r="C29" i="32"/>
  <c r="B29" i="32"/>
  <c r="K28" i="32"/>
  <c r="L28" i="32" s="1"/>
  <c r="P28" i="32" s="1"/>
  <c r="J28" i="32"/>
  <c r="I28" i="32"/>
  <c r="K27" i="32"/>
  <c r="L27" i="32" s="1"/>
  <c r="J27" i="32"/>
  <c r="I27" i="32"/>
  <c r="D27" i="32"/>
  <c r="C27" i="32"/>
  <c r="B27" i="32"/>
  <c r="P26" i="32"/>
  <c r="L26" i="32"/>
  <c r="J26" i="32"/>
  <c r="I26" i="32"/>
  <c r="K25" i="32"/>
  <c r="L25" i="32" s="1"/>
  <c r="J25" i="32"/>
  <c r="I25" i="32"/>
  <c r="D25" i="32"/>
  <c r="C25" i="32"/>
  <c r="B25" i="32"/>
  <c r="K24" i="32"/>
  <c r="L24" i="32" s="1"/>
  <c r="J24" i="32"/>
  <c r="I24" i="32"/>
  <c r="K23" i="32"/>
  <c r="L23" i="32" s="1"/>
  <c r="J23" i="32"/>
  <c r="I23" i="32"/>
  <c r="D23" i="32"/>
  <c r="C23" i="32"/>
  <c r="B23" i="32"/>
  <c r="K22" i="32"/>
  <c r="L22" i="32" s="1"/>
  <c r="P22" i="32" s="1"/>
  <c r="J22" i="32"/>
  <c r="I22" i="32"/>
  <c r="K21" i="32"/>
  <c r="L21" i="32" s="1"/>
  <c r="J21" i="32"/>
  <c r="I21" i="32"/>
  <c r="D21" i="32"/>
  <c r="C21" i="32"/>
  <c r="B21" i="32"/>
  <c r="K20" i="32"/>
  <c r="L20" i="32" s="1"/>
  <c r="P20" i="32" s="1"/>
  <c r="J20" i="32"/>
  <c r="I20" i="32"/>
  <c r="K19" i="32"/>
  <c r="J19" i="32"/>
  <c r="I19" i="32"/>
  <c r="D19" i="32"/>
  <c r="C19" i="32"/>
  <c r="B19" i="32"/>
  <c r="K18" i="32"/>
  <c r="L18" i="32" s="1"/>
  <c r="P18" i="32" s="1"/>
  <c r="J18" i="32"/>
  <c r="I18" i="32"/>
  <c r="K17" i="32"/>
  <c r="L17" i="32" s="1"/>
  <c r="J17" i="32"/>
  <c r="I17" i="32"/>
  <c r="D17" i="32"/>
  <c r="C17" i="32"/>
  <c r="B17" i="32"/>
  <c r="K16" i="32"/>
  <c r="J16" i="32"/>
  <c r="I16" i="32"/>
  <c r="K15" i="32"/>
  <c r="L15" i="32" s="1"/>
  <c r="J15" i="32"/>
  <c r="I15" i="32"/>
  <c r="L16" i="32"/>
  <c r="P16" i="32" s="1"/>
  <c r="D15" i="32"/>
  <c r="C15" i="32"/>
  <c r="B15" i="32"/>
  <c r="K14" i="32"/>
  <c r="L14" i="32" s="1"/>
  <c r="J14" i="32"/>
  <c r="I14" i="32"/>
  <c r="L13" i="32"/>
  <c r="K13" i="32"/>
  <c r="J13" i="32"/>
  <c r="I13" i="32"/>
  <c r="D13" i="32"/>
  <c r="C13" i="32"/>
  <c r="B13" i="32"/>
  <c r="K12" i="32"/>
  <c r="L12" i="32" s="1"/>
  <c r="P12" i="32" s="1"/>
  <c r="J12" i="32"/>
  <c r="I12" i="32"/>
  <c r="K11" i="32"/>
  <c r="L11" i="32" s="1"/>
  <c r="J11" i="32"/>
  <c r="I11" i="32"/>
  <c r="D11" i="32"/>
  <c r="C11" i="32"/>
  <c r="B11" i="32"/>
  <c r="K10" i="32"/>
  <c r="J10" i="32"/>
  <c r="I10" i="32"/>
  <c r="K9" i="32"/>
  <c r="J9" i="32"/>
  <c r="I9" i="32"/>
  <c r="L9" i="32"/>
  <c r="D9" i="32"/>
  <c r="C9" i="32"/>
  <c r="B9" i="32"/>
  <c r="K8" i="32"/>
  <c r="L8" i="32" s="1"/>
  <c r="P8" i="32" s="1"/>
  <c r="J8" i="32"/>
  <c r="I8" i="32"/>
  <c r="K7" i="32"/>
  <c r="L7" i="32" s="1"/>
  <c r="J7" i="32"/>
  <c r="I7" i="32"/>
  <c r="D7" i="32"/>
  <c r="C7" i="32"/>
  <c r="B7" i="32"/>
  <c r="S192" i="36" l="1"/>
  <c r="P194" i="36"/>
  <c r="G196" i="36"/>
  <c r="L195" i="36"/>
  <c r="P195" i="36" s="1"/>
  <c r="Q143" i="32"/>
  <c r="R137" i="32"/>
  <c r="P147" i="32"/>
  <c r="P121" i="32"/>
  <c r="Q121" i="32" s="1"/>
  <c r="O121" i="32"/>
  <c r="L148" i="32"/>
  <c r="P148" i="32" s="1"/>
  <c r="O63" i="32"/>
  <c r="N129" i="32"/>
  <c r="M39" i="32"/>
  <c r="U39" i="32" s="1"/>
  <c r="O45" i="32"/>
  <c r="O41" i="32"/>
  <c r="P42" i="32"/>
  <c r="M45" i="32"/>
  <c r="U45" i="32" s="1"/>
  <c r="O75" i="32"/>
  <c r="M85" i="32"/>
  <c r="U85" i="32" s="1"/>
  <c r="M93" i="32"/>
  <c r="U93" i="32" s="1"/>
  <c r="M137" i="32"/>
  <c r="U137" i="32" s="1"/>
  <c r="M41" i="32"/>
  <c r="U41" i="32" s="1"/>
  <c r="P137" i="32"/>
  <c r="Q137" i="32" s="1"/>
  <c r="O99" i="32"/>
  <c r="R11" i="32"/>
  <c r="P11" i="32"/>
  <c r="Q11" i="32" s="1"/>
  <c r="O11" i="32"/>
  <c r="N11" i="32"/>
  <c r="M11" i="32"/>
  <c r="N27" i="32"/>
  <c r="O27" i="32"/>
  <c r="M27" i="32"/>
  <c r="R27" i="32"/>
  <c r="P27" i="32"/>
  <c r="Q27" i="32" s="1"/>
  <c r="P24" i="32"/>
  <c r="N23" i="32"/>
  <c r="O29" i="32"/>
  <c r="R29" i="32"/>
  <c r="P29" i="32"/>
  <c r="Q29" i="32" s="1"/>
  <c r="N29" i="32"/>
  <c r="M29" i="32"/>
  <c r="U29" i="32" s="1"/>
  <c r="P14" i="32"/>
  <c r="N13" i="32"/>
  <c r="R21" i="32"/>
  <c r="P21" i="32"/>
  <c r="Q21" i="32" s="1"/>
  <c r="O21" i="32"/>
  <c r="N21" i="32"/>
  <c r="M21" i="32"/>
  <c r="M13" i="32"/>
  <c r="P9" i="32"/>
  <c r="M7" i="32"/>
  <c r="R7" i="32"/>
  <c r="P7" i="32"/>
  <c r="Q7" i="32" s="1"/>
  <c r="O7" i="32"/>
  <c r="N7" i="32"/>
  <c r="R31" i="32"/>
  <c r="S31" i="32" s="1"/>
  <c r="N31" i="32"/>
  <c r="O31" i="32"/>
  <c r="M31" i="32"/>
  <c r="P31" i="32"/>
  <c r="Q31" i="32" s="1"/>
  <c r="P15" i="32"/>
  <c r="Q15" i="32" s="1"/>
  <c r="O15" i="32"/>
  <c r="N15" i="32"/>
  <c r="M15" i="32"/>
  <c r="R15" i="32"/>
  <c r="N33" i="32"/>
  <c r="R33" i="32"/>
  <c r="P33" i="32"/>
  <c r="Q33" i="32" s="1"/>
  <c r="O33" i="32"/>
  <c r="M33" i="32"/>
  <c r="U33" i="32" s="1"/>
  <c r="M23" i="32"/>
  <c r="R17" i="32"/>
  <c r="P17" i="32"/>
  <c r="Q17" i="32" s="1"/>
  <c r="O17" i="32"/>
  <c r="N17" i="32"/>
  <c r="M17" i="32"/>
  <c r="P25" i="32"/>
  <c r="Q25" i="32" s="1"/>
  <c r="O25" i="32"/>
  <c r="N25" i="32"/>
  <c r="M25" i="32"/>
  <c r="R25" i="32"/>
  <c r="R35" i="32"/>
  <c r="P35" i="32"/>
  <c r="Q35" i="32" s="1"/>
  <c r="N35" i="32"/>
  <c r="O35" i="32"/>
  <c r="M35" i="32"/>
  <c r="U35" i="32" s="1"/>
  <c r="O13" i="32"/>
  <c r="O23" i="32"/>
  <c r="O39" i="32"/>
  <c r="N49" i="32"/>
  <c r="R49" i="32"/>
  <c r="S49" i="32" s="1"/>
  <c r="P49" i="32"/>
  <c r="Q49" i="32" s="1"/>
  <c r="N53" i="32"/>
  <c r="M53" i="32"/>
  <c r="U53" i="32" s="1"/>
  <c r="R53" i="32"/>
  <c r="P53" i="32"/>
  <c r="Q53" i="32" s="1"/>
  <c r="R101" i="32"/>
  <c r="P101" i="32"/>
  <c r="Q101" i="32" s="1"/>
  <c r="O101" i="32"/>
  <c r="N101" i="32"/>
  <c r="P103" i="32"/>
  <c r="Q103" i="32" s="1"/>
  <c r="R103" i="32"/>
  <c r="O103" i="32"/>
  <c r="N103" i="32"/>
  <c r="M103" i="32"/>
  <c r="U103" i="32" s="1"/>
  <c r="P105" i="32"/>
  <c r="N109" i="32"/>
  <c r="R109" i="32"/>
  <c r="P109" i="32"/>
  <c r="Q109" i="32" s="1"/>
  <c r="O109" i="32"/>
  <c r="M109" i="32"/>
  <c r="U109" i="32" s="1"/>
  <c r="R113" i="32"/>
  <c r="S113" i="32" s="1"/>
  <c r="N113" i="32"/>
  <c r="P113" i="32"/>
  <c r="Q113" i="32" s="1"/>
  <c r="O113" i="32"/>
  <c r="N37" i="32"/>
  <c r="R37" i="32"/>
  <c r="S37" i="32" s="1"/>
  <c r="R93" i="32"/>
  <c r="S93" i="32" s="1"/>
  <c r="P93" i="32"/>
  <c r="Q93" i="32" s="1"/>
  <c r="O93" i="32"/>
  <c r="N93" i="32"/>
  <c r="P97" i="32"/>
  <c r="Q97" i="32" s="1"/>
  <c r="O97" i="32"/>
  <c r="N97" i="32"/>
  <c r="M97" i="32"/>
  <c r="U97" i="32" s="1"/>
  <c r="R97" i="32"/>
  <c r="P13" i="32"/>
  <c r="P23" i="32"/>
  <c r="O37" i="32"/>
  <c r="R43" i="32"/>
  <c r="P43" i="32"/>
  <c r="Q43" i="32" s="1"/>
  <c r="O43" i="32"/>
  <c r="N43" i="32"/>
  <c r="O53" i="32"/>
  <c r="M101" i="32"/>
  <c r="U101" i="32" s="1"/>
  <c r="N99" i="32"/>
  <c r="M99" i="32"/>
  <c r="U99" i="32" s="1"/>
  <c r="R99" i="32"/>
  <c r="P99" i="32"/>
  <c r="Q99" i="32" s="1"/>
  <c r="P37" i="32"/>
  <c r="Q37" i="32" s="1"/>
  <c r="M43" i="32"/>
  <c r="U43" i="32" s="1"/>
  <c r="O49" i="32"/>
  <c r="P65" i="32"/>
  <c r="Q65" i="32" s="1"/>
  <c r="O65" i="32"/>
  <c r="N65" i="32"/>
  <c r="M65" i="32"/>
  <c r="U65" i="32" s="1"/>
  <c r="R65" i="32"/>
  <c r="L108" i="32"/>
  <c r="P108" i="32" s="1"/>
  <c r="N125" i="32"/>
  <c r="M125" i="32"/>
  <c r="U125" i="32" s="1"/>
  <c r="R125" i="32"/>
  <c r="P125" i="32"/>
  <c r="Q125" i="32" s="1"/>
  <c r="O125" i="32"/>
  <c r="L10" i="32"/>
  <c r="P10" i="32" s="1"/>
  <c r="R13" i="32"/>
  <c r="L19" i="32"/>
  <c r="R23" i="32"/>
  <c r="R47" i="32"/>
  <c r="P47" i="32"/>
  <c r="Q47" i="32" s="1"/>
  <c r="O47" i="32"/>
  <c r="N47" i="32"/>
  <c r="R61" i="32"/>
  <c r="P61" i="32"/>
  <c r="Q61" i="32" s="1"/>
  <c r="O61" i="32"/>
  <c r="N61" i="32"/>
  <c r="M61" i="32"/>
  <c r="N41" i="32"/>
  <c r="R41" i="32"/>
  <c r="S41" i="32" s="1"/>
  <c r="P41" i="32"/>
  <c r="Q41" i="32" s="1"/>
  <c r="M47" i="32"/>
  <c r="U47" i="32" s="1"/>
  <c r="R55" i="32"/>
  <c r="S55" i="32" s="1"/>
  <c r="P55" i="32"/>
  <c r="Q55" i="32" s="1"/>
  <c r="O55" i="32"/>
  <c r="N55" i="32"/>
  <c r="U61" i="32"/>
  <c r="O73" i="32"/>
  <c r="N73" i="32"/>
  <c r="M73" i="32"/>
  <c r="U73" i="32" s="1"/>
  <c r="R73" i="32"/>
  <c r="N75" i="32"/>
  <c r="M75" i="32"/>
  <c r="U75" i="32" s="1"/>
  <c r="R75" i="32"/>
  <c r="P75" i="32"/>
  <c r="Q75" i="32" s="1"/>
  <c r="P128" i="32"/>
  <c r="Q127" i="32" s="1"/>
  <c r="R127" i="32"/>
  <c r="N131" i="32"/>
  <c r="M131" i="32"/>
  <c r="U131" i="32" s="1"/>
  <c r="R131" i="32"/>
  <c r="P131" i="32"/>
  <c r="Q131" i="32" s="1"/>
  <c r="O131" i="32"/>
  <c r="R95" i="32"/>
  <c r="P95" i="32"/>
  <c r="Q95" i="32" s="1"/>
  <c r="O95" i="32"/>
  <c r="N95" i="32"/>
  <c r="M95" i="32"/>
  <c r="U95" i="32" s="1"/>
  <c r="R51" i="32"/>
  <c r="P51" i="32"/>
  <c r="Q51" i="32" s="1"/>
  <c r="O51" i="32"/>
  <c r="N51" i="32"/>
  <c r="P59" i="32"/>
  <c r="Q59" i="32" s="1"/>
  <c r="O59" i="32"/>
  <c r="N59" i="32"/>
  <c r="M59" i="32"/>
  <c r="U59" i="32" s="1"/>
  <c r="R59" i="32"/>
  <c r="R67" i="32"/>
  <c r="P67" i="32"/>
  <c r="Q67" i="32" s="1"/>
  <c r="O67" i="32"/>
  <c r="N67" i="32"/>
  <c r="R69" i="32"/>
  <c r="P69" i="32"/>
  <c r="Q69" i="32" s="1"/>
  <c r="O69" i="32"/>
  <c r="N69" i="32"/>
  <c r="M69" i="32"/>
  <c r="U69" i="32" s="1"/>
  <c r="P71" i="32"/>
  <c r="Q71" i="32" s="1"/>
  <c r="O71" i="32"/>
  <c r="N71" i="32"/>
  <c r="M71" i="32"/>
  <c r="U71" i="32" s="1"/>
  <c r="R71" i="32"/>
  <c r="Q73" i="32"/>
  <c r="R77" i="32"/>
  <c r="P77" i="32"/>
  <c r="Q77" i="32" s="1"/>
  <c r="O77" i="32"/>
  <c r="N77" i="32"/>
  <c r="R79" i="32"/>
  <c r="S79" i="32" s="1"/>
  <c r="P79" i="32"/>
  <c r="Q79" i="32" s="1"/>
  <c r="O79" i="32"/>
  <c r="N79" i="32"/>
  <c r="M79" i="32"/>
  <c r="U79" i="32" s="1"/>
  <c r="P81" i="32"/>
  <c r="Q81" i="32" s="1"/>
  <c r="O81" i="32"/>
  <c r="N81" i="32"/>
  <c r="M81" i="32"/>
  <c r="U81" i="32" s="1"/>
  <c r="R81" i="32"/>
  <c r="N83" i="32"/>
  <c r="M83" i="32"/>
  <c r="U83" i="32" s="1"/>
  <c r="R83" i="32"/>
  <c r="P83" i="32"/>
  <c r="Q83" i="32" s="1"/>
  <c r="R135" i="32"/>
  <c r="N135" i="32"/>
  <c r="P135" i="32"/>
  <c r="Q135" i="32" s="1"/>
  <c r="O135" i="32"/>
  <c r="M135" i="32"/>
  <c r="U135" i="32" s="1"/>
  <c r="R39" i="32"/>
  <c r="S39" i="32" s="1"/>
  <c r="P39" i="32"/>
  <c r="Q39" i="32" s="1"/>
  <c r="N39" i="32"/>
  <c r="N45" i="32"/>
  <c r="R45" i="32"/>
  <c r="S45" i="32" s="1"/>
  <c r="P45" i="32"/>
  <c r="Q45" i="32" s="1"/>
  <c r="U51" i="32"/>
  <c r="U154" i="32" s="1"/>
  <c r="L58" i="32"/>
  <c r="P58" i="32" s="1"/>
  <c r="Q57" i="32" s="1"/>
  <c r="N63" i="32"/>
  <c r="M63" i="32"/>
  <c r="U63" i="32" s="1"/>
  <c r="R63" i="32"/>
  <c r="S63" i="32" s="1"/>
  <c r="P63" i="32"/>
  <c r="Q63" i="32" s="1"/>
  <c r="M67" i="32"/>
  <c r="U67" i="32" s="1"/>
  <c r="M77" i="32"/>
  <c r="U77" i="32" s="1"/>
  <c r="O83" i="32"/>
  <c r="R85" i="32"/>
  <c r="P85" i="32"/>
  <c r="Q85" i="32" s="1"/>
  <c r="O85" i="32"/>
  <c r="N85" i="32"/>
  <c r="R87" i="32"/>
  <c r="P87" i="32"/>
  <c r="Q87" i="32" s="1"/>
  <c r="O87" i="32"/>
  <c r="N87" i="32"/>
  <c r="M87" i="32"/>
  <c r="U87" i="32" s="1"/>
  <c r="P89" i="32"/>
  <c r="Q89" i="32" s="1"/>
  <c r="O89" i="32"/>
  <c r="N89" i="32"/>
  <c r="M89" i="32"/>
  <c r="U89" i="32" s="1"/>
  <c r="R89" i="32"/>
  <c r="N91" i="32"/>
  <c r="M91" i="32"/>
  <c r="U91" i="32" s="1"/>
  <c r="R91" i="32"/>
  <c r="P91" i="32"/>
  <c r="Q91" i="32" s="1"/>
  <c r="P130" i="32"/>
  <c r="R129" i="32"/>
  <c r="P139" i="32"/>
  <c r="Q139" i="32" s="1"/>
  <c r="M139" i="32"/>
  <c r="U139" i="32" s="1"/>
  <c r="R139" i="32"/>
  <c r="O139" i="32"/>
  <c r="N139" i="32"/>
  <c r="L107" i="32"/>
  <c r="O127" i="32"/>
  <c r="L133" i="32"/>
  <c r="R143" i="32"/>
  <c r="O143" i="32"/>
  <c r="N143" i="32"/>
  <c r="M143" i="32"/>
  <c r="U143" i="32" s="1"/>
  <c r="L146" i="32"/>
  <c r="P146" i="32" s="1"/>
  <c r="L106" i="32"/>
  <c r="P106" i="32" s="1"/>
  <c r="N117" i="32"/>
  <c r="M117" i="32"/>
  <c r="U117" i="32" s="1"/>
  <c r="R117" i="32"/>
  <c r="S137" i="32"/>
  <c r="O117" i="32"/>
  <c r="L123" i="32"/>
  <c r="P145" i="32"/>
  <c r="Q145" i="32" s="1"/>
  <c r="M145" i="32"/>
  <c r="U145" i="32" s="1"/>
  <c r="L149" i="32"/>
  <c r="L115" i="32"/>
  <c r="P117" i="32"/>
  <c r="Q117" i="32" s="1"/>
  <c r="L141" i="32"/>
  <c r="N145" i="32"/>
  <c r="R121" i="32"/>
  <c r="N121" i="32"/>
  <c r="P129" i="32"/>
  <c r="O129" i="32"/>
  <c r="O145" i="32"/>
  <c r="L111" i="32"/>
  <c r="L119" i="32"/>
  <c r="M121" i="32"/>
  <c r="U121" i="32" s="1"/>
  <c r="M127" i="32"/>
  <c r="U127" i="32" s="1"/>
  <c r="M129" i="32"/>
  <c r="U129" i="32" s="1"/>
  <c r="O137" i="32"/>
  <c r="N137" i="32"/>
  <c r="R145" i="32"/>
  <c r="S145" i="32" s="1"/>
  <c r="R151" i="32"/>
  <c r="O151" i="32"/>
  <c r="N151" i="32"/>
  <c r="M151" i="32"/>
  <c r="U151" i="32" s="1"/>
  <c r="G197" i="36" l="1"/>
  <c r="L196" i="36"/>
  <c r="R194" i="36"/>
  <c r="O194" i="36"/>
  <c r="N194" i="36"/>
  <c r="M194" i="36"/>
  <c r="U194" i="36" s="1"/>
  <c r="Q194" i="36"/>
  <c r="M147" i="32"/>
  <c r="U147" i="32" s="1"/>
  <c r="R147" i="32"/>
  <c r="N147" i="32"/>
  <c r="O147" i="32"/>
  <c r="Q129" i="32"/>
  <c r="S121" i="32"/>
  <c r="S131" i="32"/>
  <c r="S7" i="32"/>
  <c r="S61" i="32"/>
  <c r="S117" i="32"/>
  <c r="S25" i="32"/>
  <c r="S15" i="32"/>
  <c r="S125" i="32"/>
  <c r="S147" i="32"/>
  <c r="S29" i="32"/>
  <c r="Q147" i="32"/>
  <c r="S85" i="32"/>
  <c r="S101" i="32"/>
  <c r="S71" i="32"/>
  <c r="S23" i="32"/>
  <c r="S43" i="32"/>
  <c r="S17" i="32"/>
  <c r="S13" i="32"/>
  <c r="Q13" i="32"/>
  <c r="S89" i="32"/>
  <c r="Q23" i="32"/>
  <c r="S53" i="32"/>
  <c r="S129" i="32"/>
  <c r="S135" i="32"/>
  <c r="S109" i="32"/>
  <c r="S143" i="32"/>
  <c r="S83" i="32"/>
  <c r="S77" i="32"/>
  <c r="S59" i="32"/>
  <c r="S65" i="32"/>
  <c r="S35" i="32"/>
  <c r="R9" i="32"/>
  <c r="S21" i="32"/>
  <c r="O57" i="32"/>
  <c r="S99" i="32"/>
  <c r="R57" i="32"/>
  <c r="S75" i="32"/>
  <c r="P123" i="32"/>
  <c r="Q123" i="32" s="1"/>
  <c r="O123" i="32"/>
  <c r="R123" i="32"/>
  <c r="N123" i="32"/>
  <c r="M123" i="32"/>
  <c r="U123" i="32" s="1"/>
  <c r="P133" i="32"/>
  <c r="Q133" i="32" s="1"/>
  <c r="R133" i="32"/>
  <c r="O133" i="32"/>
  <c r="N133" i="32"/>
  <c r="M133" i="32"/>
  <c r="U133" i="32" s="1"/>
  <c r="S91" i="32"/>
  <c r="S67" i="32"/>
  <c r="M57" i="32"/>
  <c r="M105" i="32"/>
  <c r="U105" i="32" s="1"/>
  <c r="S103" i="32"/>
  <c r="M9" i="32"/>
  <c r="M149" i="32"/>
  <c r="U149" i="32" s="1"/>
  <c r="P149" i="32"/>
  <c r="Q149" i="32" s="1"/>
  <c r="O149" i="32"/>
  <c r="R149" i="32"/>
  <c r="N149" i="32"/>
  <c r="S95" i="32"/>
  <c r="O105" i="32"/>
  <c r="N9" i="32"/>
  <c r="P115" i="32"/>
  <c r="Q115" i="32" s="1"/>
  <c r="O115" i="32"/>
  <c r="N115" i="32"/>
  <c r="M115" i="32"/>
  <c r="U115" i="32" s="1"/>
  <c r="R115" i="32"/>
  <c r="P107" i="32"/>
  <c r="Q107" i="32" s="1"/>
  <c r="R107" i="32"/>
  <c r="O107" i="32"/>
  <c r="N107" i="32"/>
  <c r="M107" i="32"/>
  <c r="U107" i="32" s="1"/>
  <c r="S139" i="32"/>
  <c r="S73" i="32"/>
  <c r="S47" i="32"/>
  <c r="Q105" i="32"/>
  <c r="O9" i="32"/>
  <c r="P119" i="32"/>
  <c r="Q119" i="32" s="1"/>
  <c r="R119" i="32"/>
  <c r="O119" i="32"/>
  <c r="N119" i="32"/>
  <c r="M119" i="32"/>
  <c r="U119" i="32" s="1"/>
  <c r="M141" i="32"/>
  <c r="U141" i="32" s="1"/>
  <c r="P141" i="32"/>
  <c r="Q141" i="32" s="1"/>
  <c r="O141" i="32"/>
  <c r="R141" i="32"/>
  <c r="S141" i="32" s="1"/>
  <c r="N141" i="32"/>
  <c r="N57" i="32"/>
  <c r="R105" i="32"/>
  <c r="S151" i="32"/>
  <c r="P111" i="32"/>
  <c r="Q111" i="32" s="1"/>
  <c r="R111" i="32"/>
  <c r="O111" i="32"/>
  <c r="N111" i="32"/>
  <c r="M111" i="32"/>
  <c r="U111" i="32" s="1"/>
  <c r="S87" i="32"/>
  <c r="S81" i="32"/>
  <c r="S69" i="32"/>
  <c r="S51" i="32"/>
  <c r="S127" i="32"/>
  <c r="O19" i="32"/>
  <c r="N19" i="32"/>
  <c r="M19" i="32"/>
  <c r="P19" i="32"/>
  <c r="Q19" i="32" s="1"/>
  <c r="R19" i="32"/>
  <c r="S97" i="32"/>
  <c r="N105" i="32"/>
  <c r="S33" i="32"/>
  <c r="S27" i="32"/>
  <c r="S11" i="32"/>
  <c r="S194" i="36" l="1"/>
  <c r="P196" i="36"/>
  <c r="G198" i="36"/>
  <c r="L197" i="36"/>
  <c r="P197" i="36" s="1"/>
  <c r="S19" i="32"/>
  <c r="S105" i="32"/>
  <c r="V1" i="32"/>
  <c r="V4" i="32" s="1"/>
  <c r="S9" i="32"/>
  <c r="S57" i="32"/>
  <c r="S107" i="32"/>
  <c r="S133" i="32"/>
  <c r="S115" i="32"/>
  <c r="S149" i="32"/>
  <c r="S111" i="32"/>
  <c r="S119" i="32"/>
  <c r="S123" i="32"/>
  <c r="M196" i="36" l="1"/>
  <c r="U196" i="36" s="1"/>
  <c r="Q196" i="36"/>
  <c r="R196" i="36"/>
  <c r="S196" i="36" s="1"/>
  <c r="O196" i="36"/>
  <c r="G199" i="36"/>
  <c r="L198" i="36"/>
  <c r="N196" i="36"/>
  <c r="N59" i="30"/>
  <c r="G59" i="30"/>
  <c r="O58" i="30"/>
  <c r="I58" i="30"/>
  <c r="M58" i="30" s="1"/>
  <c r="S58" i="30" s="1"/>
  <c r="M57" i="30"/>
  <c r="S57" i="30" s="1"/>
  <c r="I57" i="30"/>
  <c r="L56" i="30"/>
  <c r="I56" i="30"/>
  <c r="M56" i="30" s="1"/>
  <c r="O55" i="30"/>
  <c r="I55" i="30"/>
  <c r="M55" i="30" s="1"/>
  <c r="S55" i="30" s="1"/>
  <c r="M54" i="30"/>
  <c r="S54" i="30" s="1"/>
  <c r="I54" i="30"/>
  <c r="L53" i="30"/>
  <c r="I53" i="30"/>
  <c r="M53" i="30" s="1"/>
  <c r="O52" i="30"/>
  <c r="I52" i="30"/>
  <c r="M52" i="30" s="1"/>
  <c r="S52" i="30" s="1"/>
  <c r="M51" i="30"/>
  <c r="S51" i="30" s="1"/>
  <c r="I51" i="30"/>
  <c r="S50" i="30"/>
  <c r="M50" i="30"/>
  <c r="L50" i="30"/>
  <c r="I50" i="30"/>
  <c r="O49" i="30"/>
  <c r="I49" i="30"/>
  <c r="M49" i="30" s="1"/>
  <c r="S49" i="30" s="1"/>
  <c r="M48" i="30"/>
  <c r="S48" i="30" s="1"/>
  <c r="I48" i="30"/>
  <c r="M47" i="30"/>
  <c r="O47" i="30" s="1"/>
  <c r="L47" i="30"/>
  <c r="I47" i="30"/>
  <c r="O46" i="30"/>
  <c r="I46" i="30"/>
  <c r="M46" i="30" s="1"/>
  <c r="S46" i="30" s="1"/>
  <c r="O45" i="30"/>
  <c r="M45" i="30"/>
  <c r="S45" i="30" s="1"/>
  <c r="I45" i="30"/>
  <c r="M44" i="30"/>
  <c r="S44" i="30" s="1"/>
  <c r="L44" i="30"/>
  <c r="I44" i="30"/>
  <c r="O43" i="30"/>
  <c r="M43" i="30"/>
  <c r="S43" i="30" s="1"/>
  <c r="I43" i="30"/>
  <c r="M42" i="30"/>
  <c r="S42" i="30" s="1"/>
  <c r="I42" i="30"/>
  <c r="L41" i="30"/>
  <c r="I41" i="30"/>
  <c r="M41" i="30" s="1"/>
  <c r="O40" i="30"/>
  <c r="I40" i="30"/>
  <c r="M40" i="30" s="1"/>
  <c r="S40" i="30" s="1"/>
  <c r="I39" i="30"/>
  <c r="M39" i="30" s="1"/>
  <c r="L38" i="30"/>
  <c r="I38" i="30"/>
  <c r="M38" i="30" s="1"/>
  <c r="S37" i="30"/>
  <c r="O37" i="30"/>
  <c r="M37" i="30"/>
  <c r="I37" i="30"/>
  <c r="I36" i="30"/>
  <c r="M36" i="30" s="1"/>
  <c r="M35" i="30"/>
  <c r="S35" i="30" s="1"/>
  <c r="L35" i="30"/>
  <c r="I35" i="30"/>
  <c r="O34" i="30"/>
  <c r="M34" i="30"/>
  <c r="S34" i="30" s="1"/>
  <c r="I34" i="30"/>
  <c r="I33" i="30"/>
  <c r="M33" i="30" s="1"/>
  <c r="L32" i="30"/>
  <c r="I32" i="30"/>
  <c r="M32" i="30" s="1"/>
  <c r="O31" i="30"/>
  <c r="M31" i="30"/>
  <c r="S31" i="30" s="1"/>
  <c r="I31" i="30"/>
  <c r="M30" i="30"/>
  <c r="S30" i="30" s="1"/>
  <c r="I30" i="30"/>
  <c r="L29" i="30"/>
  <c r="I29" i="30"/>
  <c r="M29" i="30" s="1"/>
  <c r="O28" i="30"/>
  <c r="I28" i="30"/>
  <c r="M28" i="30" s="1"/>
  <c r="S28" i="30" s="1"/>
  <c r="I27" i="30"/>
  <c r="M27" i="30" s="1"/>
  <c r="L26" i="30"/>
  <c r="I26" i="30"/>
  <c r="M26" i="30" s="1"/>
  <c r="O25" i="30"/>
  <c r="I25" i="30"/>
  <c r="M25" i="30" s="1"/>
  <c r="S25" i="30" s="1"/>
  <c r="S24" i="30"/>
  <c r="M24" i="30"/>
  <c r="O24" i="30" s="1"/>
  <c r="I24" i="30"/>
  <c r="M23" i="30"/>
  <c r="O23" i="30" s="1"/>
  <c r="L23" i="30"/>
  <c r="I23" i="30"/>
  <c r="O22" i="30"/>
  <c r="I22" i="30"/>
  <c r="M22" i="30" s="1"/>
  <c r="O21" i="30"/>
  <c r="M21" i="30"/>
  <c r="S21" i="30" s="1"/>
  <c r="I21" i="30"/>
  <c r="M20" i="30"/>
  <c r="S20" i="30" s="1"/>
  <c r="L20" i="30"/>
  <c r="I20" i="30"/>
  <c r="O19" i="30"/>
  <c r="I19" i="30"/>
  <c r="M19" i="30" s="1"/>
  <c r="S19" i="30" s="1"/>
  <c r="M18" i="30"/>
  <c r="S18" i="30" s="1"/>
  <c r="I18" i="30"/>
  <c r="L17" i="30"/>
  <c r="I17" i="30"/>
  <c r="M17" i="30" s="1"/>
  <c r="O16" i="30"/>
  <c r="I16" i="30"/>
  <c r="M16" i="30" s="1"/>
  <c r="S16" i="30" s="1"/>
  <c r="I15" i="30"/>
  <c r="M15" i="30" s="1"/>
  <c r="S14" i="30"/>
  <c r="M14" i="30"/>
  <c r="O14" i="30" s="1"/>
  <c r="L14" i="30"/>
  <c r="I14" i="30"/>
  <c r="O13" i="30"/>
  <c r="I13" i="30"/>
  <c r="M13" i="30" s="1"/>
  <c r="S13" i="30" s="1"/>
  <c r="I12" i="30"/>
  <c r="M12" i="30" s="1"/>
  <c r="M11" i="30"/>
  <c r="S11" i="30" s="1"/>
  <c r="L11" i="30"/>
  <c r="I11" i="30"/>
  <c r="M10" i="30"/>
  <c r="S10" i="30" s="1"/>
  <c r="I10" i="30"/>
  <c r="S9" i="30"/>
  <c r="O9" i="30"/>
  <c r="M9" i="30"/>
  <c r="I9" i="30"/>
  <c r="L8" i="30"/>
  <c r="I8" i="30"/>
  <c r="M8" i="30" s="1"/>
  <c r="M7" i="30"/>
  <c r="S7" i="30" s="1"/>
  <c r="I7" i="30"/>
  <c r="I6" i="30"/>
  <c r="M6" i="30" s="1"/>
  <c r="L5" i="30"/>
  <c r="K59" i="30" s="1"/>
  <c r="I5" i="30"/>
  <c r="M5" i="30" s="1"/>
  <c r="P198" i="36" l="1"/>
  <c r="G200" i="36"/>
  <c r="L199" i="36"/>
  <c r="P199" i="36" s="1"/>
  <c r="S33" i="30"/>
  <c r="O33" i="30"/>
  <c r="O15" i="30"/>
  <c r="S15" i="30"/>
  <c r="U41" i="30"/>
  <c r="S41" i="30"/>
  <c r="T41" i="30" s="1"/>
  <c r="O41" i="30"/>
  <c r="U50" i="30"/>
  <c r="O39" i="30"/>
  <c r="S39" i="30"/>
  <c r="O8" i="30"/>
  <c r="U8" i="30"/>
  <c r="S8" i="30"/>
  <c r="T8" i="30" s="1"/>
  <c r="O53" i="30"/>
  <c r="U53" i="30"/>
  <c r="S53" i="30"/>
  <c r="T53" i="30" s="1"/>
  <c r="U26" i="30"/>
  <c r="S26" i="30"/>
  <c r="O26" i="30"/>
  <c r="T44" i="30"/>
  <c r="R47" i="30"/>
  <c r="Q47" i="30"/>
  <c r="T50" i="30"/>
  <c r="O32" i="30"/>
  <c r="U32" i="30"/>
  <c r="S32" i="30"/>
  <c r="T32" i="30" s="1"/>
  <c r="O29" i="30"/>
  <c r="U29" i="30"/>
  <c r="S29" i="30"/>
  <c r="T29" i="30" s="1"/>
  <c r="T11" i="30"/>
  <c r="S12" i="30"/>
  <c r="O12" i="30"/>
  <c r="O56" i="30"/>
  <c r="U56" i="30"/>
  <c r="S56" i="30"/>
  <c r="T56" i="30" s="1"/>
  <c r="Q14" i="30"/>
  <c r="P14" i="30"/>
  <c r="R14" i="30"/>
  <c r="S36" i="30"/>
  <c r="T35" i="30" s="1"/>
  <c r="O36" i="30"/>
  <c r="T14" i="30"/>
  <c r="U20" i="30"/>
  <c r="S22" i="30"/>
  <c r="O5" i="30"/>
  <c r="U5" i="30"/>
  <c r="L59" i="30"/>
  <c r="S5" i="30"/>
  <c r="S6" i="30"/>
  <c r="O6" i="30"/>
  <c r="U17" i="30"/>
  <c r="S17" i="30"/>
  <c r="T17" i="30" s="1"/>
  <c r="O17" i="30"/>
  <c r="T20" i="30"/>
  <c r="P23" i="30"/>
  <c r="R23" i="30"/>
  <c r="Q23" i="30"/>
  <c r="S27" i="30"/>
  <c r="O27" i="30"/>
  <c r="S38" i="30"/>
  <c r="T38" i="30" s="1"/>
  <c r="O38" i="30"/>
  <c r="U38" i="30"/>
  <c r="U11" i="30"/>
  <c r="U35" i="30"/>
  <c r="O48" i="30"/>
  <c r="P47" i="30" s="1"/>
  <c r="U44" i="30"/>
  <c r="O50" i="30"/>
  <c r="O57" i="30"/>
  <c r="O18" i="30"/>
  <c r="S23" i="30"/>
  <c r="T23" i="30" s="1"/>
  <c r="O35" i="30"/>
  <c r="O42" i="30"/>
  <c r="S47" i="30"/>
  <c r="T47" i="30" s="1"/>
  <c r="O7" i="30"/>
  <c r="O11" i="30"/>
  <c r="U14" i="30"/>
  <c r="O20" i="30"/>
  <c r="O44" i="30"/>
  <c r="O51" i="30"/>
  <c r="U23" i="30"/>
  <c r="U47" i="30"/>
  <c r="O10" i="30"/>
  <c r="O30" i="30"/>
  <c r="O54" i="30"/>
  <c r="N198" i="36" l="1"/>
  <c r="Q198" i="36"/>
  <c r="R198" i="36"/>
  <c r="G201" i="36"/>
  <c r="L200" i="36"/>
  <c r="O198" i="36"/>
  <c r="M198" i="36"/>
  <c r="U198" i="36" s="1"/>
  <c r="R44" i="30"/>
  <c r="Q44" i="30"/>
  <c r="P44" i="30"/>
  <c r="Q38" i="30"/>
  <c r="P38" i="30"/>
  <c r="R38" i="30"/>
  <c r="V41" i="30"/>
  <c r="P41" i="30"/>
  <c r="R41" i="30"/>
  <c r="Q41" i="30"/>
  <c r="Q20" i="30"/>
  <c r="R20" i="30"/>
  <c r="P20" i="30"/>
  <c r="V20" i="30" s="1"/>
  <c r="P17" i="30"/>
  <c r="V17" i="30" s="1"/>
  <c r="R17" i="30"/>
  <c r="Q17" i="30"/>
  <c r="R5" i="30"/>
  <c r="Q5" i="30"/>
  <c r="V14" i="30"/>
  <c r="R29" i="30"/>
  <c r="Q29" i="30"/>
  <c r="P29" i="30"/>
  <c r="V29" i="30" s="1"/>
  <c r="R11" i="30"/>
  <c r="Q11" i="30"/>
  <c r="P11" i="30"/>
  <c r="V11" i="30" s="1"/>
  <c r="R50" i="30"/>
  <c r="Q50" i="30"/>
  <c r="P50" i="30"/>
  <c r="V50" i="30" s="1"/>
  <c r="R26" i="30"/>
  <c r="Q26" i="30"/>
  <c r="P26" i="30"/>
  <c r="V26" i="30" s="1"/>
  <c r="R8" i="30"/>
  <c r="Q8" i="30"/>
  <c r="P8" i="30"/>
  <c r="V8" i="30" s="1"/>
  <c r="V44" i="30"/>
  <c r="R56" i="30"/>
  <c r="Q56" i="30"/>
  <c r="P56" i="30"/>
  <c r="V56" i="30" s="1"/>
  <c r="T26" i="30"/>
  <c r="R35" i="30"/>
  <c r="Q35" i="30"/>
  <c r="P35" i="30"/>
  <c r="U59" i="30"/>
  <c r="V5" i="30"/>
  <c r="Q32" i="30"/>
  <c r="R32" i="30"/>
  <c r="P32" i="30"/>
  <c r="V32" i="30" s="1"/>
  <c r="V38" i="30"/>
  <c r="R53" i="30"/>
  <c r="Q53" i="30"/>
  <c r="P53" i="30"/>
  <c r="V53" i="30" s="1"/>
  <c r="V47" i="30"/>
  <c r="V23" i="30"/>
  <c r="V35" i="30"/>
  <c r="T5" i="30"/>
  <c r="P200" i="36" l="1"/>
  <c r="S198" i="36"/>
  <c r="G202" i="36"/>
  <c r="L201" i="36"/>
  <c r="P201" i="36" s="1"/>
  <c r="P59" i="30"/>
  <c r="Q59" i="30"/>
  <c r="R59" i="30"/>
  <c r="T59" i="30"/>
  <c r="Q200" i="36" l="1"/>
  <c r="O200" i="36"/>
  <c r="G203" i="36"/>
  <c r="L202" i="36"/>
  <c r="N200" i="36"/>
  <c r="M200" i="36"/>
  <c r="U200" i="36" s="1"/>
  <c r="R200" i="36"/>
  <c r="S200" i="36" s="1"/>
  <c r="L10" i="29"/>
  <c r="P10" i="29" s="1"/>
  <c r="K10" i="29"/>
  <c r="K9" i="29"/>
  <c r="L9" i="29" s="1"/>
  <c r="R9" i="29" s="1"/>
  <c r="K8" i="29"/>
  <c r="L8" i="29" s="1"/>
  <c r="P8" i="29" s="1"/>
  <c r="K7" i="29"/>
  <c r="L7" i="29" s="1"/>
  <c r="M7" i="29" s="1"/>
  <c r="A7" i="29"/>
  <c r="K6" i="29"/>
  <c r="L6" i="29" s="1"/>
  <c r="P6" i="29" s="1"/>
  <c r="K5" i="29"/>
  <c r="L5" i="29" s="1"/>
  <c r="P5" i="29" l="1"/>
  <c r="P202" i="36"/>
  <c r="G204" i="36"/>
  <c r="L203" i="36"/>
  <c r="P203" i="36" s="1"/>
  <c r="N7" i="29"/>
  <c r="P7" i="29"/>
  <c r="R7" i="29"/>
  <c r="O7" i="29"/>
  <c r="R5" i="29"/>
  <c r="S5" i="29" s="1"/>
  <c r="M9" i="29"/>
  <c r="S9" i="29" s="1"/>
  <c r="N5" i="29"/>
  <c r="N9" i="29"/>
  <c r="O5" i="29"/>
  <c r="O9" i="29"/>
  <c r="P9" i="29"/>
  <c r="N202" i="36" l="1"/>
  <c r="M202" i="36"/>
  <c r="U202" i="36" s="1"/>
  <c r="O202" i="36"/>
  <c r="G205" i="36"/>
  <c r="L204" i="36"/>
  <c r="Q202" i="36"/>
  <c r="R202" i="36"/>
  <c r="S202" i="36" s="1"/>
  <c r="S7" i="29"/>
  <c r="G206" i="36" l="1"/>
  <c r="L205" i="36"/>
  <c r="P205" i="36" s="1"/>
  <c r="O204" i="36"/>
  <c r="M204" i="36"/>
  <c r="U204" i="36" s="1"/>
  <c r="N204" i="36"/>
  <c r="R204" i="36"/>
  <c r="S204" i="36" s="1"/>
  <c r="P204" i="36"/>
  <c r="Q204" i="36" s="1"/>
  <c r="U340" i="27"/>
  <c r="J340" i="27"/>
  <c r="I340" i="27" s="1"/>
  <c r="L340" i="27" s="1"/>
  <c r="P340" i="27" s="1"/>
  <c r="K339" i="27"/>
  <c r="U338" i="27"/>
  <c r="K338" i="27"/>
  <c r="J338" i="27" s="1"/>
  <c r="K337" i="27"/>
  <c r="J337" i="27" s="1"/>
  <c r="I337" i="27" s="1"/>
  <c r="L337" i="27" s="1"/>
  <c r="U336" i="27"/>
  <c r="K336" i="27"/>
  <c r="K335" i="27"/>
  <c r="J335" i="27" s="1"/>
  <c r="I335" i="27" s="1"/>
  <c r="L335" i="27" s="1"/>
  <c r="U334" i="27"/>
  <c r="K334" i="27"/>
  <c r="J334" i="27" s="1"/>
  <c r="K333" i="27"/>
  <c r="J333" i="27" s="1"/>
  <c r="I333" i="27" s="1"/>
  <c r="L333" i="27" s="1"/>
  <c r="U332" i="27"/>
  <c r="K332" i="27"/>
  <c r="J332" i="27" s="1"/>
  <c r="I332" i="27" s="1"/>
  <c r="L332" i="27" s="1"/>
  <c r="P332" i="27" s="1"/>
  <c r="K331" i="27"/>
  <c r="U330" i="27"/>
  <c r="K330" i="27"/>
  <c r="J330" i="27" s="1"/>
  <c r="K329" i="27"/>
  <c r="J329" i="27" s="1"/>
  <c r="U328" i="27"/>
  <c r="K328" i="27"/>
  <c r="J327" i="27"/>
  <c r="I327" i="27" s="1"/>
  <c r="L327" i="27" s="1"/>
  <c r="U326" i="27"/>
  <c r="K326" i="27"/>
  <c r="J326" i="27" s="1"/>
  <c r="J325" i="27"/>
  <c r="I325" i="27" s="1"/>
  <c r="L325" i="27" s="1"/>
  <c r="P325" i="27" s="1"/>
  <c r="U324" i="27"/>
  <c r="K324" i="27"/>
  <c r="J324" i="27" s="1"/>
  <c r="J323" i="27"/>
  <c r="I323" i="27" s="1"/>
  <c r="L323" i="27" s="1"/>
  <c r="U322" i="27"/>
  <c r="K322" i="27"/>
  <c r="J322" i="27"/>
  <c r="I322" i="27" s="1"/>
  <c r="L322" i="27" s="1"/>
  <c r="P322" i="27" s="1"/>
  <c r="J321" i="27"/>
  <c r="I321" i="27" s="1"/>
  <c r="L321" i="27" s="1"/>
  <c r="U320" i="27"/>
  <c r="K320" i="27"/>
  <c r="J320" i="27" s="1"/>
  <c r="I320" i="27" s="1"/>
  <c r="L320" i="27" s="1"/>
  <c r="P320" i="27" s="1"/>
  <c r="K319" i="27"/>
  <c r="U318" i="27"/>
  <c r="K318" i="27"/>
  <c r="J318" i="27" s="1"/>
  <c r="I318" i="27" s="1"/>
  <c r="L318" i="27" s="1"/>
  <c r="K317" i="27"/>
  <c r="J317" i="27" s="1"/>
  <c r="I317" i="27" s="1"/>
  <c r="L317" i="27" s="1"/>
  <c r="U316" i="27"/>
  <c r="K316" i="27"/>
  <c r="K315" i="27"/>
  <c r="J315" i="27" s="1"/>
  <c r="I315" i="27" s="1"/>
  <c r="L315" i="27" s="1"/>
  <c r="U314" i="27"/>
  <c r="J314" i="27"/>
  <c r="I314" i="27" s="1"/>
  <c r="L314" i="27" s="1"/>
  <c r="P314" i="27" s="1"/>
  <c r="J313" i="27"/>
  <c r="I313" i="27" s="1"/>
  <c r="L313" i="27" s="1"/>
  <c r="U312" i="27"/>
  <c r="K312" i="27"/>
  <c r="J312" i="27" s="1"/>
  <c r="K311" i="27"/>
  <c r="J311" i="27" s="1"/>
  <c r="I311" i="27" s="1"/>
  <c r="L311" i="27" s="1"/>
  <c r="U310" i="27"/>
  <c r="J310" i="27"/>
  <c r="I310" i="27" s="1"/>
  <c r="L310" i="27" s="1"/>
  <c r="P310" i="27" s="1"/>
  <c r="J309" i="27"/>
  <c r="I309" i="27" s="1"/>
  <c r="L309" i="27" s="1"/>
  <c r="U308" i="27"/>
  <c r="K308" i="27"/>
  <c r="J308" i="27" s="1"/>
  <c r="I308" i="27" s="1"/>
  <c r="L308" i="27" s="1"/>
  <c r="P308" i="27" s="1"/>
  <c r="K307" i="27"/>
  <c r="U306" i="27"/>
  <c r="J306" i="27"/>
  <c r="I306" i="27" s="1"/>
  <c r="L306" i="27" s="1"/>
  <c r="P306" i="27" s="1"/>
  <c r="J305" i="27"/>
  <c r="I305" i="27" s="1"/>
  <c r="L305" i="27" s="1"/>
  <c r="U304" i="27"/>
  <c r="J304" i="27"/>
  <c r="I304" i="27" s="1"/>
  <c r="L304" i="27" s="1"/>
  <c r="P304" i="27" s="1"/>
  <c r="J303" i="27"/>
  <c r="I303" i="27" s="1"/>
  <c r="L303" i="27" s="1"/>
  <c r="U302" i="27"/>
  <c r="K302" i="27"/>
  <c r="J302" i="27" s="1"/>
  <c r="I302" i="27" s="1"/>
  <c r="L302" i="27" s="1"/>
  <c r="J301" i="27"/>
  <c r="I301" i="27" s="1"/>
  <c r="L301" i="27" s="1"/>
  <c r="U300" i="27"/>
  <c r="K300" i="27"/>
  <c r="J300" i="27" s="1"/>
  <c r="K299" i="27"/>
  <c r="J299" i="27" s="1"/>
  <c r="I299" i="27" s="1"/>
  <c r="L299" i="27" s="1"/>
  <c r="U298" i="27"/>
  <c r="K298" i="27"/>
  <c r="K297" i="27"/>
  <c r="J297" i="27" s="1"/>
  <c r="U296" i="27"/>
  <c r="K296" i="27"/>
  <c r="J296" i="27" s="1"/>
  <c r="I296" i="27" s="1"/>
  <c r="L296" i="27" s="1"/>
  <c r="P296" i="27" s="1"/>
  <c r="K295" i="27"/>
  <c r="J295" i="27" s="1"/>
  <c r="U294" i="27"/>
  <c r="J294" i="27"/>
  <c r="I294" i="27" s="1"/>
  <c r="L294" i="27" s="1"/>
  <c r="P294" i="27" s="1"/>
  <c r="J293" i="27"/>
  <c r="I293" i="27" s="1"/>
  <c r="L293" i="27" s="1"/>
  <c r="U292" i="27"/>
  <c r="K292" i="27"/>
  <c r="K291" i="27"/>
  <c r="J291" i="27" s="1"/>
  <c r="U290" i="27"/>
  <c r="J290" i="27"/>
  <c r="I290" i="27" s="1"/>
  <c r="L290" i="27" s="1"/>
  <c r="P290" i="27" s="1"/>
  <c r="J289" i="27"/>
  <c r="I289" i="27" s="1"/>
  <c r="L289" i="27" s="1"/>
  <c r="U288" i="27"/>
  <c r="J288" i="27"/>
  <c r="I288" i="27" s="1"/>
  <c r="L288" i="27" s="1"/>
  <c r="P288" i="27" s="1"/>
  <c r="K287" i="27"/>
  <c r="J287" i="27" s="1"/>
  <c r="U286" i="27"/>
  <c r="J286" i="27"/>
  <c r="I286" i="27" s="1"/>
  <c r="L286" i="27" s="1"/>
  <c r="P286" i="27" s="1"/>
  <c r="J285" i="27"/>
  <c r="I285" i="27" s="1"/>
  <c r="L285" i="27" s="1"/>
  <c r="U284" i="27"/>
  <c r="K284" i="27"/>
  <c r="K283" i="27"/>
  <c r="J283" i="27" s="1"/>
  <c r="I283" i="27" s="1"/>
  <c r="L283" i="27" s="1"/>
  <c r="P283" i="27" s="1"/>
  <c r="U282" i="27"/>
  <c r="J282" i="27"/>
  <c r="I282" i="27" s="1"/>
  <c r="L282" i="27" s="1"/>
  <c r="P282" i="27" s="1"/>
  <c r="K281" i="27"/>
  <c r="U280" i="27"/>
  <c r="K280" i="27"/>
  <c r="J280" i="27" s="1"/>
  <c r="K279" i="27"/>
  <c r="J279" i="27" s="1"/>
  <c r="U278" i="27"/>
  <c r="K278" i="27"/>
  <c r="J278" i="27" s="1"/>
  <c r="J277" i="27"/>
  <c r="I277" i="27" s="1"/>
  <c r="L277" i="27" s="1"/>
  <c r="U276" i="27"/>
  <c r="J276" i="27"/>
  <c r="I276" i="27" s="1"/>
  <c r="L276" i="27" s="1"/>
  <c r="P276" i="27" s="1"/>
  <c r="J275" i="27"/>
  <c r="I275" i="27" s="1"/>
  <c r="L275" i="27" s="1"/>
  <c r="U274" i="27"/>
  <c r="J274" i="27"/>
  <c r="I274" i="27" s="1"/>
  <c r="L274" i="27" s="1"/>
  <c r="P274" i="27" s="1"/>
  <c r="J273" i="27"/>
  <c r="I273" i="27" s="1"/>
  <c r="L273" i="27" s="1"/>
  <c r="U272" i="27"/>
  <c r="J272" i="27"/>
  <c r="I272" i="27" s="1"/>
  <c r="L272" i="27" s="1"/>
  <c r="P272" i="27" s="1"/>
  <c r="J271" i="27"/>
  <c r="I271" i="27" s="1"/>
  <c r="L271" i="27" s="1"/>
  <c r="U270" i="27"/>
  <c r="J270" i="27"/>
  <c r="I270" i="27" s="1"/>
  <c r="L270" i="27" s="1"/>
  <c r="P270" i="27" s="1"/>
  <c r="J269" i="27"/>
  <c r="I269" i="27" s="1"/>
  <c r="L269" i="27" s="1"/>
  <c r="U268" i="27"/>
  <c r="K268" i="27"/>
  <c r="J268" i="27" s="1"/>
  <c r="K267" i="27"/>
  <c r="J267" i="27" s="1"/>
  <c r="U266" i="27"/>
  <c r="K266" i="27"/>
  <c r="K265" i="27"/>
  <c r="J265" i="27" s="1"/>
  <c r="I265" i="27" s="1"/>
  <c r="L265" i="27" s="1"/>
  <c r="U264" i="27"/>
  <c r="J264" i="27"/>
  <c r="I264" i="27" s="1"/>
  <c r="L264" i="27" s="1"/>
  <c r="P264" i="27" s="1"/>
  <c r="K263" i="27"/>
  <c r="J263" i="27" s="1"/>
  <c r="I263" i="27" s="1"/>
  <c r="L263" i="27" s="1"/>
  <c r="U262" i="27"/>
  <c r="K262" i="27"/>
  <c r="J262" i="27" s="1"/>
  <c r="K261" i="27"/>
  <c r="J261" i="27" s="1"/>
  <c r="U260" i="27"/>
  <c r="K260" i="27"/>
  <c r="J260" i="27" s="1"/>
  <c r="J259" i="27"/>
  <c r="I259" i="27" s="1"/>
  <c r="L259" i="27" s="1"/>
  <c r="U258" i="27"/>
  <c r="K258" i="27"/>
  <c r="J257" i="27"/>
  <c r="I257" i="27" s="1"/>
  <c r="L257" i="27" s="1"/>
  <c r="U256" i="27"/>
  <c r="K256" i="27"/>
  <c r="K255" i="27"/>
  <c r="J255" i="27" s="1"/>
  <c r="U254" i="27"/>
  <c r="K254" i="27"/>
  <c r="J254" i="27" s="1"/>
  <c r="J253" i="27"/>
  <c r="I253" i="27" s="1"/>
  <c r="L253" i="27" s="1"/>
  <c r="U252" i="27"/>
  <c r="K252" i="27"/>
  <c r="J251" i="27"/>
  <c r="I251" i="27" s="1"/>
  <c r="L251" i="27" s="1"/>
  <c r="U250" i="27"/>
  <c r="K250" i="27"/>
  <c r="J250" i="27" s="1"/>
  <c r="J249" i="27"/>
  <c r="I249" i="27" s="1"/>
  <c r="L249" i="27" s="1"/>
  <c r="P249" i="27" s="1"/>
  <c r="U248" i="27"/>
  <c r="J248" i="27"/>
  <c r="I248" i="27" s="1"/>
  <c r="L248" i="27" s="1"/>
  <c r="P248" i="27" s="1"/>
  <c r="J247" i="27"/>
  <c r="I247" i="27" s="1"/>
  <c r="L247" i="27" s="1"/>
  <c r="U246" i="27"/>
  <c r="J246" i="27"/>
  <c r="I246" i="27" s="1"/>
  <c r="L246" i="27" s="1"/>
  <c r="P246" i="27" s="1"/>
  <c r="J245" i="27"/>
  <c r="I245" i="27" s="1"/>
  <c r="L245" i="27" s="1"/>
  <c r="U244" i="27"/>
  <c r="K244" i="27"/>
  <c r="J244" i="27" s="1"/>
  <c r="I244" i="27" s="1"/>
  <c r="L244" i="27" s="1"/>
  <c r="P244" i="27" s="1"/>
  <c r="J243" i="27"/>
  <c r="I243" i="27" s="1"/>
  <c r="L243" i="27" s="1"/>
  <c r="U242" i="27"/>
  <c r="K242" i="27"/>
  <c r="J242" i="27"/>
  <c r="I242" i="27" s="1"/>
  <c r="L242" i="27" s="1"/>
  <c r="P242" i="27" s="1"/>
  <c r="K241" i="27"/>
  <c r="U240" i="27"/>
  <c r="J240" i="27"/>
  <c r="I240" i="27" s="1"/>
  <c r="L240" i="27" s="1"/>
  <c r="J239" i="27"/>
  <c r="I239" i="27" s="1"/>
  <c r="L239" i="27" s="1"/>
  <c r="U238" i="27"/>
  <c r="K238" i="27"/>
  <c r="K237" i="27"/>
  <c r="J237" i="27" s="1"/>
  <c r="U236" i="27"/>
  <c r="J236" i="27"/>
  <c r="I236" i="27" s="1"/>
  <c r="L236" i="27" s="1"/>
  <c r="P236" i="27" s="1"/>
  <c r="J235" i="27"/>
  <c r="I235" i="27" s="1"/>
  <c r="L235" i="27" s="1"/>
  <c r="U234" i="27"/>
  <c r="K234" i="27"/>
  <c r="K233" i="27"/>
  <c r="J233" i="27" s="1"/>
  <c r="I233" i="27" s="1"/>
  <c r="L233" i="27" s="1"/>
  <c r="U232" i="27"/>
  <c r="J232" i="27"/>
  <c r="I232" i="27" s="1"/>
  <c r="L232" i="27" s="1"/>
  <c r="P232" i="27" s="1"/>
  <c r="K231" i="27"/>
  <c r="J231" i="27" s="1"/>
  <c r="U230" i="27"/>
  <c r="K230" i="27"/>
  <c r="J230" i="27" s="1"/>
  <c r="K229" i="27"/>
  <c r="J229" i="27" s="1"/>
  <c r="U228" i="27"/>
  <c r="K228" i="27"/>
  <c r="J228" i="27" s="1"/>
  <c r="K227" i="27"/>
  <c r="J227" i="27" s="1"/>
  <c r="U226" i="27"/>
  <c r="J226" i="27"/>
  <c r="I226" i="27" s="1"/>
  <c r="L226" i="27" s="1"/>
  <c r="P226" i="27" s="1"/>
  <c r="K225" i="27"/>
  <c r="J225" i="27" s="1"/>
  <c r="U224" i="27"/>
  <c r="K224" i="27"/>
  <c r="K223" i="27"/>
  <c r="J223" i="27" s="1"/>
  <c r="I223" i="27" s="1"/>
  <c r="L223" i="27" s="1"/>
  <c r="U222" i="27"/>
  <c r="K222" i="27"/>
  <c r="J222" i="27" s="1"/>
  <c r="K221" i="27"/>
  <c r="J221" i="27" s="1"/>
  <c r="I221" i="27" s="1"/>
  <c r="L221" i="27" s="1"/>
  <c r="U220" i="27"/>
  <c r="J220" i="27"/>
  <c r="I220" i="27" s="1"/>
  <c r="L220" i="27" s="1"/>
  <c r="P220" i="27" s="1"/>
  <c r="J219" i="27"/>
  <c r="I219" i="27" s="1"/>
  <c r="L219" i="27" s="1"/>
  <c r="U218" i="27"/>
  <c r="K218" i="27"/>
  <c r="J218" i="27" s="1"/>
  <c r="I218" i="27" s="1"/>
  <c r="L218" i="27" s="1"/>
  <c r="P218" i="27" s="1"/>
  <c r="J217" i="27"/>
  <c r="I217" i="27" s="1"/>
  <c r="L217" i="27" s="1"/>
  <c r="U216" i="27"/>
  <c r="J216" i="27"/>
  <c r="I216" i="27" s="1"/>
  <c r="L216" i="27" s="1"/>
  <c r="P216" i="27" s="1"/>
  <c r="J215" i="27"/>
  <c r="I215" i="27" s="1"/>
  <c r="L215" i="27" s="1"/>
  <c r="U214" i="27"/>
  <c r="J214" i="27"/>
  <c r="I214" i="27" s="1"/>
  <c r="L214" i="27" s="1"/>
  <c r="P214" i="27" s="1"/>
  <c r="J213" i="27"/>
  <c r="I213" i="27" s="1"/>
  <c r="L213" i="27" s="1"/>
  <c r="U212" i="27"/>
  <c r="J212" i="27"/>
  <c r="I212" i="27" s="1"/>
  <c r="L212" i="27" s="1"/>
  <c r="P212" i="27" s="1"/>
  <c r="K211" i="27"/>
  <c r="U210" i="27"/>
  <c r="K210" i="27"/>
  <c r="J210" i="27" s="1"/>
  <c r="I210" i="27" s="1"/>
  <c r="L210" i="27" s="1"/>
  <c r="P210" i="27" s="1"/>
  <c r="K209" i="27"/>
  <c r="J209" i="27" s="1"/>
  <c r="U208" i="27"/>
  <c r="K208" i="27"/>
  <c r="K207" i="27"/>
  <c r="J207" i="27"/>
  <c r="I207" i="27" s="1"/>
  <c r="L207" i="27" s="1"/>
  <c r="P207" i="27" s="1"/>
  <c r="U206" i="27"/>
  <c r="K206" i="27"/>
  <c r="J206" i="27" s="1"/>
  <c r="K205" i="27"/>
  <c r="J205" i="27" s="1"/>
  <c r="U204" i="27"/>
  <c r="J204" i="27"/>
  <c r="I204" i="27" s="1"/>
  <c r="L204" i="27" s="1"/>
  <c r="P204" i="27" s="1"/>
  <c r="J203" i="27"/>
  <c r="I203" i="27" s="1"/>
  <c r="L203" i="27" s="1"/>
  <c r="U202" i="27"/>
  <c r="K202" i="27"/>
  <c r="J202" i="27" s="1"/>
  <c r="I202" i="27" s="1"/>
  <c r="L202" i="27" s="1"/>
  <c r="P202" i="27" s="1"/>
  <c r="K201" i="27"/>
  <c r="U200" i="27"/>
  <c r="K200" i="27"/>
  <c r="J200" i="27" s="1"/>
  <c r="K199" i="27"/>
  <c r="J199" i="27" s="1"/>
  <c r="U198" i="27"/>
  <c r="K198" i="27"/>
  <c r="K197" i="27"/>
  <c r="U196" i="27"/>
  <c r="J196" i="27"/>
  <c r="I196" i="27" s="1"/>
  <c r="L196" i="27" s="1"/>
  <c r="P196" i="27" s="1"/>
  <c r="K195" i="27"/>
  <c r="J195" i="27" s="1"/>
  <c r="U194" i="27"/>
  <c r="J194" i="27"/>
  <c r="I194" i="27" s="1"/>
  <c r="L194" i="27" s="1"/>
  <c r="P194" i="27" s="1"/>
  <c r="K193" i="27"/>
  <c r="J193" i="27" s="1"/>
  <c r="I193" i="27" s="1"/>
  <c r="L193" i="27" s="1"/>
  <c r="U192" i="27"/>
  <c r="J192" i="27"/>
  <c r="I192" i="27" s="1"/>
  <c r="L192" i="27" s="1"/>
  <c r="P192" i="27" s="1"/>
  <c r="K191" i="27"/>
  <c r="U190" i="27"/>
  <c r="K190" i="27"/>
  <c r="J190" i="27" s="1"/>
  <c r="I190" i="27" s="1"/>
  <c r="L190" i="27" s="1"/>
  <c r="P190" i="27" s="1"/>
  <c r="K189" i="27"/>
  <c r="U188" i="27"/>
  <c r="K188" i="27"/>
  <c r="J188" i="27" s="1"/>
  <c r="J187" i="27"/>
  <c r="I187" i="27" s="1"/>
  <c r="L187" i="27" s="1"/>
  <c r="P187" i="27" s="1"/>
  <c r="U186" i="27"/>
  <c r="J186" i="27"/>
  <c r="I186" i="27" s="1"/>
  <c r="L186" i="27" s="1"/>
  <c r="J185" i="27"/>
  <c r="I185" i="27" s="1"/>
  <c r="L185" i="27" s="1"/>
  <c r="P185" i="27" s="1"/>
  <c r="U184" i="27"/>
  <c r="K184" i="27"/>
  <c r="J183" i="27"/>
  <c r="I183" i="27" s="1"/>
  <c r="L183" i="27" s="1"/>
  <c r="P183" i="27" s="1"/>
  <c r="U182" i="27"/>
  <c r="K182" i="27"/>
  <c r="J182" i="27" s="1"/>
  <c r="J181" i="27"/>
  <c r="I181" i="27" s="1"/>
  <c r="L181" i="27" s="1"/>
  <c r="P181" i="27" s="1"/>
  <c r="U180" i="27"/>
  <c r="K180" i="27"/>
  <c r="J180" i="27" s="1"/>
  <c r="I180" i="27" s="1"/>
  <c r="L180" i="27" s="1"/>
  <c r="P180" i="27" s="1"/>
  <c r="K179" i="27"/>
  <c r="J179" i="27" s="1"/>
  <c r="U178" i="27"/>
  <c r="K178" i="27"/>
  <c r="J177" i="27"/>
  <c r="I177" i="27" s="1"/>
  <c r="L177" i="27" s="1"/>
  <c r="U176" i="27"/>
  <c r="K176" i="27"/>
  <c r="J175" i="27"/>
  <c r="I175" i="27" s="1"/>
  <c r="L175" i="27" s="1"/>
  <c r="P175" i="27" s="1"/>
  <c r="U174" i="27"/>
  <c r="K174" i="27"/>
  <c r="J173" i="27"/>
  <c r="I173" i="27" s="1"/>
  <c r="L173" i="27" s="1"/>
  <c r="P173" i="27" s="1"/>
  <c r="U172" i="27"/>
  <c r="K172" i="27"/>
  <c r="J172" i="27" s="1"/>
  <c r="K171" i="27"/>
  <c r="U170" i="27"/>
  <c r="K170" i="27"/>
  <c r="J170" i="27" s="1"/>
  <c r="K169" i="27"/>
  <c r="J169" i="27" s="1"/>
  <c r="I169" i="27" s="1"/>
  <c r="L169" i="27" s="1"/>
  <c r="U168" i="27"/>
  <c r="K168" i="27"/>
  <c r="J168" i="27" s="1"/>
  <c r="I168" i="27" s="1"/>
  <c r="L168" i="27" s="1"/>
  <c r="P168" i="27" s="1"/>
  <c r="K167" i="27"/>
  <c r="U166" i="27"/>
  <c r="K166" i="27"/>
  <c r="J166" i="27" s="1"/>
  <c r="I166" i="27" s="1"/>
  <c r="L166" i="27" s="1"/>
  <c r="P166" i="27" s="1"/>
  <c r="K165" i="27"/>
  <c r="U164" i="27"/>
  <c r="K164" i="27"/>
  <c r="J164" i="27" s="1"/>
  <c r="J163" i="27"/>
  <c r="I163" i="27" s="1"/>
  <c r="L163" i="27" s="1"/>
  <c r="P163" i="27" s="1"/>
  <c r="U162" i="27"/>
  <c r="K162" i="27"/>
  <c r="K161" i="27"/>
  <c r="J161" i="27" s="1"/>
  <c r="I161" i="27" s="1"/>
  <c r="L161" i="27" s="1"/>
  <c r="U160" i="27"/>
  <c r="K160" i="27"/>
  <c r="J160" i="27" s="1"/>
  <c r="K159" i="27"/>
  <c r="J159" i="27" s="1"/>
  <c r="U158" i="27"/>
  <c r="K158" i="27"/>
  <c r="J158" i="27" s="1"/>
  <c r="K157" i="27"/>
  <c r="J157" i="27" s="1"/>
  <c r="I157" i="27" s="1"/>
  <c r="L157" i="27" s="1"/>
  <c r="U156" i="27"/>
  <c r="K156" i="27"/>
  <c r="J156" i="27" s="1"/>
  <c r="K155" i="27"/>
  <c r="U154" i="27"/>
  <c r="K154" i="27"/>
  <c r="J154" i="27" s="1"/>
  <c r="K153" i="27"/>
  <c r="J153" i="27" s="1"/>
  <c r="I153" i="27" s="1"/>
  <c r="L153" i="27" s="1"/>
  <c r="U152" i="27"/>
  <c r="K152" i="27"/>
  <c r="J152" i="27" s="1"/>
  <c r="K151" i="27"/>
  <c r="J151" i="27" s="1"/>
  <c r="I151" i="27" s="1"/>
  <c r="L151" i="27" s="1"/>
  <c r="U150" i="27"/>
  <c r="K150" i="27"/>
  <c r="J150" i="27" s="1"/>
  <c r="K149" i="27"/>
  <c r="J149" i="27" s="1"/>
  <c r="U148" i="27"/>
  <c r="K148" i="27"/>
  <c r="J148" i="27" s="1"/>
  <c r="K147" i="27"/>
  <c r="J147" i="27" s="1"/>
  <c r="U146" i="27"/>
  <c r="K146" i="27"/>
  <c r="J146" i="27" s="1"/>
  <c r="K145" i="27"/>
  <c r="J145" i="27" s="1"/>
  <c r="U144" i="27"/>
  <c r="K144" i="27"/>
  <c r="K143" i="27"/>
  <c r="J143" i="27" s="1"/>
  <c r="I143" i="27" s="1"/>
  <c r="L143" i="27" s="1"/>
  <c r="U142" i="27"/>
  <c r="K142" i="27"/>
  <c r="K141" i="27"/>
  <c r="U140" i="27"/>
  <c r="K140" i="27"/>
  <c r="J140" i="27" s="1"/>
  <c r="I140" i="27" s="1"/>
  <c r="L140" i="27" s="1"/>
  <c r="P140" i="27" s="1"/>
  <c r="K139" i="27"/>
  <c r="J139" i="27" s="1"/>
  <c r="U138" i="27"/>
  <c r="J138" i="27"/>
  <c r="I138" i="27" s="1"/>
  <c r="L138" i="27" s="1"/>
  <c r="P138" i="27" s="1"/>
  <c r="J137" i="27"/>
  <c r="I137" i="27" s="1"/>
  <c r="L137" i="27" s="1"/>
  <c r="P137" i="27" s="1"/>
  <c r="U136" i="27"/>
  <c r="K136" i="27"/>
  <c r="J136" i="27" s="1"/>
  <c r="I136" i="27" s="1"/>
  <c r="L136" i="27" s="1"/>
  <c r="P136" i="27" s="1"/>
  <c r="K135" i="27"/>
  <c r="J135" i="27" s="1"/>
  <c r="U134" i="27"/>
  <c r="K134" i="27"/>
  <c r="J134" i="27" s="1"/>
  <c r="K133" i="27"/>
  <c r="J133" i="27" s="1"/>
  <c r="U132" i="27"/>
  <c r="J132" i="27"/>
  <c r="I132" i="27" s="1"/>
  <c r="L132" i="27" s="1"/>
  <c r="P132" i="27" s="1"/>
  <c r="J131" i="27"/>
  <c r="I131" i="27" s="1"/>
  <c r="L131" i="27" s="1"/>
  <c r="U130" i="27"/>
  <c r="K130" i="27"/>
  <c r="J130" i="27" s="1"/>
  <c r="I130" i="27" s="1"/>
  <c r="L130" i="27" s="1"/>
  <c r="P130" i="27" s="1"/>
  <c r="K129" i="27"/>
  <c r="J129" i="27" s="1"/>
  <c r="I129" i="27" s="1"/>
  <c r="L129" i="27" s="1"/>
  <c r="P129" i="27" s="1"/>
  <c r="U128" i="27"/>
  <c r="K128" i="27"/>
  <c r="J128" i="27" s="1"/>
  <c r="I128" i="27" s="1"/>
  <c r="L128" i="27" s="1"/>
  <c r="P128" i="27" s="1"/>
  <c r="K127" i="27"/>
  <c r="U126" i="27"/>
  <c r="K126" i="27"/>
  <c r="J126" i="27"/>
  <c r="I126" i="27" s="1"/>
  <c r="L126" i="27" s="1"/>
  <c r="P126" i="27" s="1"/>
  <c r="K125" i="27"/>
  <c r="J125" i="27" s="1"/>
  <c r="U124" i="27"/>
  <c r="K124" i="27"/>
  <c r="K123" i="27"/>
  <c r="J123" i="27" s="1"/>
  <c r="U122" i="27"/>
  <c r="K122" i="27"/>
  <c r="J122" i="27" s="1"/>
  <c r="K121" i="27"/>
  <c r="J121" i="27"/>
  <c r="I121" i="27" s="1"/>
  <c r="L121" i="27" s="1"/>
  <c r="U120" i="27"/>
  <c r="K120" i="27"/>
  <c r="J120" i="27" s="1"/>
  <c r="K119" i="27"/>
  <c r="U118" i="27"/>
  <c r="K118" i="27"/>
  <c r="J118" i="27" s="1"/>
  <c r="I118" i="27" s="1"/>
  <c r="L118" i="27" s="1"/>
  <c r="P118" i="27" s="1"/>
  <c r="K117" i="27"/>
  <c r="J117" i="27" s="1"/>
  <c r="U116" i="27"/>
  <c r="K116" i="27"/>
  <c r="J116" i="27" s="1"/>
  <c r="K115" i="27"/>
  <c r="J115" i="27" s="1"/>
  <c r="U114" i="27"/>
  <c r="K114" i="27"/>
  <c r="J114" i="27" s="1"/>
  <c r="K113" i="27"/>
  <c r="J113" i="27" s="1"/>
  <c r="I113" i="27" s="1"/>
  <c r="L113" i="27" s="1"/>
  <c r="U112" i="27"/>
  <c r="J112" i="27"/>
  <c r="I112" i="27" s="1"/>
  <c r="L112" i="27" s="1"/>
  <c r="P112" i="27" s="1"/>
  <c r="J111" i="27"/>
  <c r="I111" i="27" s="1"/>
  <c r="L111" i="27" s="1"/>
  <c r="U110" i="27"/>
  <c r="K110" i="27"/>
  <c r="J110" i="27" s="1"/>
  <c r="K109" i="27"/>
  <c r="J109" i="27"/>
  <c r="I109" i="27" s="1"/>
  <c r="L109" i="27" s="1"/>
  <c r="U108" i="27"/>
  <c r="K108" i="27"/>
  <c r="J108" i="27" s="1"/>
  <c r="I108" i="27" s="1"/>
  <c r="L108" i="27" s="1"/>
  <c r="P108" i="27" s="1"/>
  <c r="J107" i="27"/>
  <c r="I107" i="27" s="1"/>
  <c r="L107" i="27" s="1"/>
  <c r="U106" i="27"/>
  <c r="K106" i="27"/>
  <c r="J106" i="27" s="1"/>
  <c r="K105" i="27"/>
  <c r="U104" i="27"/>
  <c r="K104" i="27"/>
  <c r="J104" i="27" s="1"/>
  <c r="K103" i="27"/>
  <c r="J103" i="27" s="1"/>
  <c r="I103" i="27" s="1"/>
  <c r="L103" i="27" s="1"/>
  <c r="U102" i="27"/>
  <c r="K102" i="27"/>
  <c r="K101" i="27"/>
  <c r="J101" i="27" s="1"/>
  <c r="U100" i="27"/>
  <c r="K100" i="27"/>
  <c r="J100" i="27" s="1"/>
  <c r="I100" i="27" s="1"/>
  <c r="L100" i="27" s="1"/>
  <c r="P100" i="27" s="1"/>
  <c r="K99" i="27"/>
  <c r="J99" i="27" s="1"/>
  <c r="I99" i="27" s="1"/>
  <c r="L99" i="27" s="1"/>
  <c r="U98" i="27"/>
  <c r="K98" i="27"/>
  <c r="K97" i="27"/>
  <c r="U96" i="27"/>
  <c r="J96" i="27"/>
  <c r="I96" i="27" s="1"/>
  <c r="L96" i="27" s="1"/>
  <c r="P96" i="27" s="1"/>
  <c r="J95" i="27"/>
  <c r="I95" i="27" s="1"/>
  <c r="L95" i="27" s="1"/>
  <c r="P95" i="27" s="1"/>
  <c r="U94" i="27"/>
  <c r="K94" i="27"/>
  <c r="J94" i="27" s="1"/>
  <c r="I94" i="27" s="1"/>
  <c r="L94" i="27" s="1"/>
  <c r="P94" i="27" s="1"/>
  <c r="K93" i="27"/>
  <c r="J93" i="27" s="1"/>
  <c r="U92" i="27"/>
  <c r="K92" i="27"/>
  <c r="K91" i="27"/>
  <c r="U90" i="27"/>
  <c r="K90" i="27"/>
  <c r="J90" i="27" s="1"/>
  <c r="K89" i="27"/>
  <c r="J89" i="27" s="1"/>
  <c r="I89" i="27" s="1"/>
  <c r="L89" i="27" s="1"/>
  <c r="U88" i="27"/>
  <c r="K88" i="27"/>
  <c r="K87" i="27"/>
  <c r="U86" i="27"/>
  <c r="J86" i="27"/>
  <c r="I86" i="27" s="1"/>
  <c r="L86" i="27" s="1"/>
  <c r="P86" i="27" s="1"/>
  <c r="J85" i="27"/>
  <c r="I85" i="27" s="1"/>
  <c r="L85" i="27" s="1"/>
  <c r="U84" i="27"/>
  <c r="K84" i="27"/>
  <c r="J84" i="27" s="1"/>
  <c r="K83" i="27"/>
  <c r="J83" i="27" s="1"/>
  <c r="I83" i="27" s="1"/>
  <c r="L83" i="27" s="1"/>
  <c r="U82" i="27"/>
  <c r="K82" i="27"/>
  <c r="K81" i="27"/>
  <c r="U80" i="27"/>
  <c r="K80" i="27"/>
  <c r="J80" i="27" s="1"/>
  <c r="J79" i="27"/>
  <c r="I79" i="27" s="1"/>
  <c r="L79" i="27" s="1"/>
  <c r="U78" i="27"/>
  <c r="J78" i="27"/>
  <c r="I78" i="27" s="1"/>
  <c r="L78" i="27" s="1"/>
  <c r="P78" i="27" s="1"/>
  <c r="J77" i="27"/>
  <c r="I77" i="27" s="1"/>
  <c r="L77" i="27" s="1"/>
  <c r="U76" i="27"/>
  <c r="K76" i="27"/>
  <c r="J76" i="27" s="1"/>
  <c r="I76" i="27" s="1"/>
  <c r="L76" i="27" s="1"/>
  <c r="P76" i="27" s="1"/>
  <c r="J75" i="27"/>
  <c r="I75" i="27" s="1"/>
  <c r="L75" i="27" s="1"/>
  <c r="U74" i="27"/>
  <c r="K74" i="27"/>
  <c r="J74" i="27" s="1"/>
  <c r="J73" i="27"/>
  <c r="I73" i="27" s="1"/>
  <c r="L73" i="27" s="1"/>
  <c r="U72" i="27"/>
  <c r="J72" i="27"/>
  <c r="I72" i="27" s="1"/>
  <c r="L72" i="27" s="1"/>
  <c r="P72" i="27" s="1"/>
  <c r="J71" i="27"/>
  <c r="I71" i="27" s="1"/>
  <c r="L71" i="27" s="1"/>
  <c r="U70" i="27"/>
  <c r="J70" i="27"/>
  <c r="I70" i="27" s="1"/>
  <c r="L70" i="27" s="1"/>
  <c r="P70" i="27" s="1"/>
  <c r="J69" i="27"/>
  <c r="I69" i="27" s="1"/>
  <c r="L69" i="27" s="1"/>
  <c r="U68" i="27"/>
  <c r="K68" i="27"/>
  <c r="J68" i="27" s="1"/>
  <c r="I68" i="27" s="1"/>
  <c r="L68" i="27" s="1"/>
  <c r="P68" i="27" s="1"/>
  <c r="J67" i="27"/>
  <c r="I67" i="27" s="1"/>
  <c r="L67" i="27" s="1"/>
  <c r="U66" i="27"/>
  <c r="K66" i="27"/>
  <c r="J66" i="27" s="1"/>
  <c r="K65" i="27"/>
  <c r="U64" i="27"/>
  <c r="K64" i="27"/>
  <c r="J64" i="27" s="1"/>
  <c r="K63" i="27"/>
  <c r="J63" i="27" s="1"/>
  <c r="U62" i="27"/>
  <c r="K62" i="27"/>
  <c r="J61" i="27"/>
  <c r="I61" i="27" s="1"/>
  <c r="L61" i="27" s="1"/>
  <c r="U60" i="27"/>
  <c r="K60" i="27"/>
  <c r="J60" i="27" s="1"/>
  <c r="I60" i="27" s="1"/>
  <c r="L60" i="27" s="1"/>
  <c r="P60" i="27" s="1"/>
  <c r="J59" i="27"/>
  <c r="I59" i="27" s="1"/>
  <c r="L59" i="27" s="1"/>
  <c r="U58" i="27"/>
  <c r="K58" i="27"/>
  <c r="J58" i="27" s="1"/>
  <c r="K57" i="27"/>
  <c r="J57" i="27"/>
  <c r="J56" i="27"/>
  <c r="I56" i="27" s="1"/>
  <c r="L56" i="27" s="1"/>
  <c r="P56" i="27" s="1"/>
  <c r="J55" i="27"/>
  <c r="I55" i="27" s="1"/>
  <c r="L55" i="27" s="1"/>
  <c r="K54" i="27"/>
  <c r="J54" i="27" s="1"/>
  <c r="K53" i="27"/>
  <c r="J53" i="27" s="1"/>
  <c r="K52" i="27"/>
  <c r="J52" i="27" s="1"/>
  <c r="K51" i="27"/>
  <c r="J51" i="27" s="1"/>
  <c r="K50" i="27"/>
  <c r="J50" i="27" s="1"/>
  <c r="I50" i="27" s="1"/>
  <c r="L50" i="27" s="1"/>
  <c r="P50" i="27" s="1"/>
  <c r="K49" i="27"/>
  <c r="K48" i="27"/>
  <c r="J48" i="27" s="1"/>
  <c r="K47" i="27"/>
  <c r="J47" i="27" s="1"/>
  <c r="I47" i="27" s="1"/>
  <c r="L47" i="27" s="1"/>
  <c r="K46" i="27"/>
  <c r="J46" i="27" s="1"/>
  <c r="J45" i="27"/>
  <c r="I45" i="27" s="1"/>
  <c r="L45" i="27" s="1"/>
  <c r="P45" i="27" s="1"/>
  <c r="K44" i="27"/>
  <c r="J44" i="27" s="1"/>
  <c r="K43" i="27"/>
  <c r="J43" i="27" s="1"/>
  <c r="K42" i="27"/>
  <c r="J42" i="27" s="1"/>
  <c r="K41" i="27"/>
  <c r="K40" i="27"/>
  <c r="J40" i="27" s="1"/>
  <c r="K39" i="27"/>
  <c r="J39" i="27" s="1"/>
  <c r="K38" i="27"/>
  <c r="J38" i="27" s="1"/>
  <c r="I38" i="27" s="1"/>
  <c r="L38" i="27" s="1"/>
  <c r="J37" i="27"/>
  <c r="I37" i="27" s="1"/>
  <c r="L37" i="27" s="1"/>
  <c r="P37" i="27" s="1"/>
  <c r="K36" i="27"/>
  <c r="J36" i="27" s="1"/>
  <c r="I36" i="27" s="1"/>
  <c r="L36" i="27" s="1"/>
  <c r="K35" i="27"/>
  <c r="J35" i="27" s="1"/>
  <c r="I35" i="27" s="1"/>
  <c r="L35" i="27" s="1"/>
  <c r="P35" i="27" s="1"/>
  <c r="K34" i="27"/>
  <c r="J34" i="27" s="1"/>
  <c r="J33" i="27"/>
  <c r="I33" i="27" s="1"/>
  <c r="L33" i="27" s="1"/>
  <c r="J32" i="27"/>
  <c r="I32" i="27" s="1"/>
  <c r="L32" i="27" s="1"/>
  <c r="P32" i="27" s="1"/>
  <c r="K31" i="27"/>
  <c r="J31" i="27" s="1"/>
  <c r="I31" i="27" s="1"/>
  <c r="L31" i="27" s="1"/>
  <c r="P31" i="27" s="1"/>
  <c r="J30" i="27"/>
  <c r="I30" i="27" s="1"/>
  <c r="L30" i="27" s="1"/>
  <c r="P30" i="27" s="1"/>
  <c r="K29" i="27"/>
  <c r="J29" i="27" s="1"/>
  <c r="I29" i="27" s="1"/>
  <c r="L29" i="27" s="1"/>
  <c r="J28" i="27"/>
  <c r="I28" i="27" s="1"/>
  <c r="L28" i="27" s="1"/>
  <c r="P28" i="27" s="1"/>
  <c r="J27" i="27"/>
  <c r="I27" i="27" s="1"/>
  <c r="L27" i="27" s="1"/>
  <c r="K26" i="27"/>
  <c r="J26" i="27"/>
  <c r="I26" i="27" s="1"/>
  <c r="L26" i="27" s="1"/>
  <c r="P26" i="27" s="1"/>
  <c r="K25" i="27"/>
  <c r="J25" i="27" s="1"/>
  <c r="I25" i="27" s="1"/>
  <c r="L25" i="27" s="1"/>
  <c r="P25" i="27" s="1"/>
  <c r="J24" i="27"/>
  <c r="I24" i="27" s="1"/>
  <c r="L24" i="27" s="1"/>
  <c r="P24" i="27" s="1"/>
  <c r="J23" i="27"/>
  <c r="I23" i="27" s="1"/>
  <c r="L23" i="27" s="1"/>
  <c r="P23" i="27" s="1"/>
  <c r="K22" i="27"/>
  <c r="J22" i="27" s="1"/>
  <c r="I22" i="27" s="1"/>
  <c r="L22" i="27" s="1"/>
  <c r="P22" i="27" s="1"/>
  <c r="J21" i="27"/>
  <c r="I21" i="27" s="1"/>
  <c r="L21" i="27" s="1"/>
  <c r="K20" i="27"/>
  <c r="J20" i="27" s="1"/>
  <c r="K19" i="27"/>
  <c r="J19" i="27" s="1"/>
  <c r="I19" i="27" s="1"/>
  <c r="L19" i="27" s="1"/>
  <c r="K18" i="27"/>
  <c r="J18" i="27" s="1"/>
  <c r="I18" i="27" s="1"/>
  <c r="L18" i="27" s="1"/>
  <c r="K17" i="27"/>
  <c r="J17" i="27" s="1"/>
  <c r="K16" i="27"/>
  <c r="J16" i="27" s="1"/>
  <c r="K15" i="27"/>
  <c r="J15" i="27" s="1"/>
  <c r="K14" i="27"/>
  <c r="K13" i="27"/>
  <c r="J13" i="27" s="1"/>
  <c r="K12" i="27"/>
  <c r="J12" i="27" s="1"/>
  <c r="I12" i="27" s="1"/>
  <c r="L12" i="27" s="1"/>
  <c r="P12" i="27" s="1"/>
  <c r="K11" i="27"/>
  <c r="K10" i="27"/>
  <c r="J10" i="27"/>
  <c r="I10" i="27" s="1"/>
  <c r="L10" i="27" s="1"/>
  <c r="P10" i="27" s="1"/>
  <c r="K9" i="27"/>
  <c r="J9" i="27" s="1"/>
  <c r="K8" i="27"/>
  <c r="J8" i="27" s="1"/>
  <c r="K7" i="27"/>
  <c r="J7" i="27" s="1"/>
  <c r="J5" i="27"/>
  <c r="I5" i="27" s="1"/>
  <c r="L5" i="27" s="1"/>
  <c r="G207" i="36" l="1"/>
  <c r="L206" i="36"/>
  <c r="Q129" i="27"/>
  <c r="I40" i="27"/>
  <c r="L40" i="27" s="1"/>
  <c r="P40" i="27" s="1"/>
  <c r="M305" i="27"/>
  <c r="U305" i="27" s="1"/>
  <c r="I104" i="27"/>
  <c r="L104" i="27" s="1"/>
  <c r="P104" i="27" s="1"/>
  <c r="N29" i="27"/>
  <c r="M269" i="27"/>
  <c r="U269" i="27" s="1"/>
  <c r="M275" i="27"/>
  <c r="U275" i="27" s="1"/>
  <c r="I13" i="27"/>
  <c r="L13" i="27" s="1"/>
  <c r="P13" i="27" s="1"/>
  <c r="J124" i="27"/>
  <c r="I124" i="27" s="1"/>
  <c r="L124" i="27" s="1"/>
  <c r="J127" i="27"/>
  <c r="I127" i="27" s="1"/>
  <c r="L127" i="27" s="1"/>
  <c r="I160" i="27"/>
  <c r="L160" i="27" s="1"/>
  <c r="P160" i="27" s="1"/>
  <c r="J197" i="27"/>
  <c r="I197" i="27" s="1"/>
  <c r="L197" i="27" s="1"/>
  <c r="P197" i="27" s="1"/>
  <c r="J238" i="27"/>
  <c r="I238" i="27" s="1"/>
  <c r="L238" i="27" s="1"/>
  <c r="P238" i="27" s="1"/>
  <c r="I149" i="27"/>
  <c r="L149" i="27" s="1"/>
  <c r="I230" i="27"/>
  <c r="L230" i="27" s="1"/>
  <c r="P230" i="27" s="1"/>
  <c r="Q25" i="27"/>
  <c r="I58" i="27"/>
  <c r="L58" i="27" s="1"/>
  <c r="P58" i="27" s="1"/>
  <c r="I90" i="27"/>
  <c r="L90" i="27" s="1"/>
  <c r="P90" i="27" s="1"/>
  <c r="I260" i="27"/>
  <c r="L260" i="27" s="1"/>
  <c r="O259" i="27" s="1"/>
  <c r="M273" i="27"/>
  <c r="U273" i="27" s="1"/>
  <c r="I330" i="27"/>
  <c r="L330" i="27" s="1"/>
  <c r="P330" i="27" s="1"/>
  <c r="R99" i="27"/>
  <c r="I134" i="27"/>
  <c r="L134" i="27" s="1"/>
  <c r="P134" i="27" s="1"/>
  <c r="I200" i="27"/>
  <c r="L200" i="27" s="1"/>
  <c r="P200" i="27" s="1"/>
  <c r="I84" i="27"/>
  <c r="L84" i="27" s="1"/>
  <c r="P84" i="27" s="1"/>
  <c r="I148" i="27"/>
  <c r="L148" i="27" s="1"/>
  <c r="P148" i="27" s="1"/>
  <c r="I297" i="27"/>
  <c r="L297" i="27" s="1"/>
  <c r="P297" i="27" s="1"/>
  <c r="I268" i="27"/>
  <c r="L268" i="27" s="1"/>
  <c r="P268" i="27" s="1"/>
  <c r="I17" i="27"/>
  <c r="L17" i="27" s="1"/>
  <c r="O71" i="27"/>
  <c r="I80" i="27"/>
  <c r="L80" i="27" s="1"/>
  <c r="P80" i="27" s="1"/>
  <c r="I139" i="27"/>
  <c r="L139" i="27" s="1"/>
  <c r="R139" i="27" s="1"/>
  <c r="I152" i="27"/>
  <c r="L152" i="27" s="1"/>
  <c r="P152" i="27" s="1"/>
  <c r="M271" i="27"/>
  <c r="U271" i="27" s="1"/>
  <c r="P240" i="27"/>
  <c r="M239" i="27"/>
  <c r="U239" i="27" s="1"/>
  <c r="I93" i="27"/>
  <c r="L93" i="27" s="1"/>
  <c r="Q137" i="27"/>
  <c r="J141" i="27"/>
  <c r="I141" i="27" s="1"/>
  <c r="L141" i="27" s="1"/>
  <c r="P141" i="27" s="1"/>
  <c r="J281" i="27"/>
  <c r="I281" i="27" s="1"/>
  <c r="L281" i="27" s="1"/>
  <c r="M303" i="27"/>
  <c r="U303" i="27" s="1"/>
  <c r="R77" i="27"/>
  <c r="J165" i="27"/>
  <c r="I165" i="27" s="1"/>
  <c r="L165" i="27" s="1"/>
  <c r="J174" i="27"/>
  <c r="I174" i="27" s="1"/>
  <c r="L174" i="27" s="1"/>
  <c r="P174" i="27" s="1"/>
  <c r="Q173" i="27" s="1"/>
  <c r="J292" i="27"/>
  <c r="I292" i="27" s="1"/>
  <c r="L292" i="27" s="1"/>
  <c r="I205" i="27"/>
  <c r="L205" i="27" s="1"/>
  <c r="P205" i="27" s="1"/>
  <c r="I20" i="27"/>
  <c r="L20" i="27" s="1"/>
  <c r="P20" i="27" s="1"/>
  <c r="J176" i="27"/>
  <c r="I176" i="27" s="1"/>
  <c r="L176" i="27" s="1"/>
  <c r="P176" i="27" s="1"/>
  <c r="Q175" i="27" s="1"/>
  <c r="I135" i="27"/>
  <c r="L135" i="27" s="1"/>
  <c r="M135" i="27" s="1"/>
  <c r="U135" i="27" s="1"/>
  <c r="P318" i="27"/>
  <c r="N317" i="27"/>
  <c r="Q95" i="27"/>
  <c r="J119" i="27"/>
  <c r="I119" i="27" s="1"/>
  <c r="L119" i="27" s="1"/>
  <c r="O185" i="27"/>
  <c r="I9" i="27"/>
  <c r="L9" i="27" s="1"/>
  <c r="O9" i="27" s="1"/>
  <c r="I52" i="27"/>
  <c r="L52" i="27" s="1"/>
  <c r="P52" i="27" s="1"/>
  <c r="I195" i="27"/>
  <c r="L195" i="27" s="1"/>
  <c r="M195" i="27" s="1"/>
  <c r="U195" i="27" s="1"/>
  <c r="J11" i="27"/>
  <c r="I11" i="27"/>
  <c r="L11" i="27" s="1"/>
  <c r="R11" i="27" s="1"/>
  <c r="J144" i="27"/>
  <c r="I144" i="27" s="1"/>
  <c r="L144" i="27" s="1"/>
  <c r="I159" i="27"/>
  <c r="L159" i="27" s="1"/>
  <c r="J171" i="27"/>
  <c r="I171" i="27" s="1"/>
  <c r="L171" i="27" s="1"/>
  <c r="P171" i="27" s="1"/>
  <c r="J298" i="27"/>
  <c r="I298" i="27" s="1"/>
  <c r="L298" i="27" s="1"/>
  <c r="I338" i="27"/>
  <c r="L338" i="27" s="1"/>
  <c r="P338" i="27" s="1"/>
  <c r="I228" i="27"/>
  <c r="L228" i="27" s="1"/>
  <c r="P228" i="27" s="1"/>
  <c r="I231" i="27"/>
  <c r="L231" i="27" s="1"/>
  <c r="P231" i="27" s="1"/>
  <c r="Q231" i="27" s="1"/>
  <c r="I255" i="27"/>
  <c r="L255" i="27" s="1"/>
  <c r="P255" i="27" s="1"/>
  <c r="I280" i="27"/>
  <c r="L280" i="27" s="1"/>
  <c r="P280" i="27" s="1"/>
  <c r="I291" i="27"/>
  <c r="L291" i="27" s="1"/>
  <c r="P291" i="27" s="1"/>
  <c r="I326" i="27"/>
  <c r="L326" i="27" s="1"/>
  <c r="P326" i="27" s="1"/>
  <c r="I57" i="27"/>
  <c r="L57" i="27" s="1"/>
  <c r="I120" i="27"/>
  <c r="L120" i="27" s="1"/>
  <c r="P120" i="27" s="1"/>
  <c r="I123" i="27"/>
  <c r="L123" i="27" s="1"/>
  <c r="P123" i="27" s="1"/>
  <c r="I262" i="27"/>
  <c r="L262" i="27" s="1"/>
  <c r="P262" i="27" s="1"/>
  <c r="I115" i="27"/>
  <c r="L115" i="27" s="1"/>
  <c r="I170" i="27"/>
  <c r="L170" i="27" s="1"/>
  <c r="P170" i="27" s="1"/>
  <c r="N31" i="27"/>
  <c r="I116" i="27"/>
  <c r="L116" i="27" s="1"/>
  <c r="P116" i="27" s="1"/>
  <c r="I156" i="27"/>
  <c r="L156" i="27" s="1"/>
  <c r="P156" i="27" s="1"/>
  <c r="I188" i="27"/>
  <c r="L188" i="27" s="1"/>
  <c r="P188" i="27" s="1"/>
  <c r="Q187" i="27" s="1"/>
  <c r="I278" i="27"/>
  <c r="L278" i="27" s="1"/>
  <c r="P278" i="27" s="1"/>
  <c r="N103" i="27"/>
  <c r="I147" i="27"/>
  <c r="L147" i="27" s="1"/>
  <c r="I110" i="27"/>
  <c r="L110" i="27" s="1"/>
  <c r="P110" i="27" s="1"/>
  <c r="N217" i="27"/>
  <c r="Q325" i="27"/>
  <c r="M95" i="27"/>
  <c r="U95" i="27" s="1"/>
  <c r="M71" i="27"/>
  <c r="U71" i="27" s="1"/>
  <c r="M31" i="27"/>
  <c r="U31" i="27" s="1"/>
  <c r="M23" i="27"/>
  <c r="U23" i="27" s="1"/>
  <c r="M11" i="27"/>
  <c r="U11" i="27" s="1"/>
  <c r="P55" i="27"/>
  <c r="Q55" i="27" s="1"/>
  <c r="N55" i="27"/>
  <c r="R55" i="27"/>
  <c r="O55" i="27"/>
  <c r="M55" i="27"/>
  <c r="U55" i="27" s="1"/>
  <c r="M17" i="27"/>
  <c r="U17" i="27" s="1"/>
  <c r="P18" i="27"/>
  <c r="N17" i="27"/>
  <c r="O17" i="27"/>
  <c r="O59" i="27"/>
  <c r="M59" i="27"/>
  <c r="U59" i="27" s="1"/>
  <c r="R59" i="27"/>
  <c r="N59" i="27"/>
  <c r="P59" i="27"/>
  <c r="Q59" i="27" s="1"/>
  <c r="P36" i="27"/>
  <c r="Q35" i="27" s="1"/>
  <c r="N35" i="27"/>
  <c r="P5" i="27"/>
  <c r="P38" i="27"/>
  <c r="Q37" i="27" s="1"/>
  <c r="N37" i="27"/>
  <c r="R21" i="27"/>
  <c r="O21" i="27"/>
  <c r="M21" i="27"/>
  <c r="U21" i="27" s="1"/>
  <c r="P21" i="27"/>
  <c r="Q21" i="27" s="1"/>
  <c r="N21" i="27"/>
  <c r="R19" i="27"/>
  <c r="R27" i="27"/>
  <c r="O27" i="27"/>
  <c r="O67" i="27"/>
  <c r="R67" i="27"/>
  <c r="N67" i="27"/>
  <c r="J81" i="27"/>
  <c r="I81" i="27" s="1"/>
  <c r="L81" i="27" s="1"/>
  <c r="M29" i="27"/>
  <c r="U29" i="27" s="1"/>
  <c r="I44" i="27"/>
  <c r="L44" i="27" s="1"/>
  <c r="P44" i="27" s="1"/>
  <c r="J62" i="27"/>
  <c r="I62" i="27" s="1"/>
  <c r="L62" i="27" s="1"/>
  <c r="P107" i="27"/>
  <c r="Q107" i="27" s="1"/>
  <c r="O107" i="27"/>
  <c r="N107" i="27"/>
  <c r="M107" i="27"/>
  <c r="U107" i="27" s="1"/>
  <c r="R107" i="27"/>
  <c r="J142" i="27"/>
  <c r="I142" i="27" s="1"/>
  <c r="L142" i="27" s="1"/>
  <c r="I16" i="27"/>
  <c r="L16" i="27" s="1"/>
  <c r="P16" i="27" s="1"/>
  <c r="R23" i="27"/>
  <c r="O23" i="27"/>
  <c r="M25" i="27"/>
  <c r="U25" i="27" s="1"/>
  <c r="M27" i="27"/>
  <c r="U27" i="27" s="1"/>
  <c r="Q31" i="27"/>
  <c r="I53" i="27"/>
  <c r="L53" i="27" s="1"/>
  <c r="J65" i="27"/>
  <c r="I65" i="27" s="1"/>
  <c r="L65" i="27" s="1"/>
  <c r="M67" i="27"/>
  <c r="U67" i="27" s="1"/>
  <c r="I74" i="27"/>
  <c r="L74" i="27" s="1"/>
  <c r="P74" i="27" s="1"/>
  <c r="P79" i="27"/>
  <c r="R213" i="27"/>
  <c r="P213" i="27"/>
  <c r="Q213" i="27" s="1"/>
  <c r="O213" i="27"/>
  <c r="M213" i="27"/>
  <c r="U213" i="27" s="1"/>
  <c r="N213" i="27"/>
  <c r="R93" i="27"/>
  <c r="P93" i="27"/>
  <c r="Q93" i="27" s="1"/>
  <c r="O93" i="27"/>
  <c r="N93" i="27"/>
  <c r="M93" i="27"/>
  <c r="U93" i="27" s="1"/>
  <c r="P19" i="27"/>
  <c r="P67" i="27"/>
  <c r="Q67" i="27" s="1"/>
  <c r="J155" i="27"/>
  <c r="I155" i="27" s="1"/>
  <c r="L155" i="27" s="1"/>
  <c r="P203" i="27"/>
  <c r="Q203" i="27" s="1"/>
  <c r="O203" i="27"/>
  <c r="N203" i="27"/>
  <c r="R203" i="27"/>
  <c r="M203" i="27"/>
  <c r="U203" i="27" s="1"/>
  <c r="J316" i="27"/>
  <c r="I316" i="27"/>
  <c r="L316" i="27" s="1"/>
  <c r="M315" i="27" s="1"/>
  <c r="U315" i="27" s="1"/>
  <c r="I15" i="27"/>
  <c r="L15" i="27" s="1"/>
  <c r="R17" i="27"/>
  <c r="P17" i="27"/>
  <c r="N23" i="27"/>
  <c r="P27" i="27"/>
  <c r="Q27" i="27" s="1"/>
  <c r="I34" i="27"/>
  <c r="L34" i="27" s="1"/>
  <c r="M33" i="27" s="1"/>
  <c r="U33" i="27" s="1"/>
  <c r="I66" i="27"/>
  <c r="L66" i="27" s="1"/>
  <c r="P66" i="27" s="1"/>
  <c r="P77" i="27"/>
  <c r="Q77" i="27" s="1"/>
  <c r="O77" i="27"/>
  <c r="N77" i="27"/>
  <c r="M77" i="27"/>
  <c r="U77" i="27" s="1"/>
  <c r="J87" i="27"/>
  <c r="I87" i="27" s="1"/>
  <c r="L87" i="27" s="1"/>
  <c r="P73" i="27"/>
  <c r="Q23" i="27"/>
  <c r="J41" i="27"/>
  <c r="I41" i="27"/>
  <c r="L41" i="27" s="1"/>
  <c r="P61" i="27"/>
  <c r="P75" i="27"/>
  <c r="Q75" i="27" s="1"/>
  <c r="O75" i="27"/>
  <c r="M75" i="27"/>
  <c r="U75" i="27" s="1"/>
  <c r="R75" i="27"/>
  <c r="N75" i="27"/>
  <c r="J88" i="27"/>
  <c r="I88" i="27"/>
  <c r="L88" i="27" s="1"/>
  <c r="P88" i="27" s="1"/>
  <c r="J92" i="27"/>
  <c r="I92" i="27" s="1"/>
  <c r="L92" i="27" s="1"/>
  <c r="P92" i="27" s="1"/>
  <c r="P99" i="27"/>
  <c r="Q99" i="27" s="1"/>
  <c r="O99" i="27"/>
  <c r="N99" i="27"/>
  <c r="J102" i="27"/>
  <c r="I102" i="27" s="1"/>
  <c r="L102" i="27" s="1"/>
  <c r="P102" i="27" s="1"/>
  <c r="J191" i="27"/>
  <c r="I191" i="27" s="1"/>
  <c r="L191" i="27" s="1"/>
  <c r="R215" i="27"/>
  <c r="P215" i="27"/>
  <c r="Q215" i="27" s="1"/>
  <c r="O215" i="27"/>
  <c r="M215" i="27"/>
  <c r="U215" i="27" s="1"/>
  <c r="N215" i="27"/>
  <c r="R29" i="27"/>
  <c r="O29" i="27"/>
  <c r="R69" i="27"/>
  <c r="P69" i="27"/>
  <c r="Q69" i="27" s="1"/>
  <c r="N69" i="27"/>
  <c r="O69" i="27"/>
  <c r="M69" i="27"/>
  <c r="U69" i="27" s="1"/>
  <c r="N27" i="27"/>
  <c r="P29" i="27"/>
  <c r="Q29" i="27" s="1"/>
  <c r="J49" i="27"/>
  <c r="I49" i="27" s="1"/>
  <c r="L49" i="27" s="1"/>
  <c r="I8" i="27"/>
  <c r="L8" i="27" s="1"/>
  <c r="P8" i="27" s="1"/>
  <c r="P33" i="27"/>
  <c r="R35" i="27"/>
  <c r="O35" i="27"/>
  <c r="R37" i="27"/>
  <c r="O37" i="27"/>
  <c r="P47" i="27"/>
  <c r="P83" i="27"/>
  <c r="P177" i="27"/>
  <c r="J14" i="27"/>
  <c r="I14" i="27" s="1"/>
  <c r="L14" i="27" s="1"/>
  <c r="R25" i="27"/>
  <c r="O25" i="27"/>
  <c r="N25" i="27"/>
  <c r="I7" i="27"/>
  <c r="L7" i="27" s="1"/>
  <c r="R31" i="27"/>
  <c r="O31" i="27"/>
  <c r="M35" i="27"/>
  <c r="U35" i="27" s="1"/>
  <c r="M37" i="27"/>
  <c r="U37" i="27" s="1"/>
  <c r="I54" i="27"/>
  <c r="L54" i="27" s="1"/>
  <c r="P54" i="27" s="1"/>
  <c r="R85" i="27"/>
  <c r="O85" i="27"/>
  <c r="N85" i="27"/>
  <c r="P85" i="27"/>
  <c r="Q85" i="27" s="1"/>
  <c r="M85" i="27"/>
  <c r="U85" i="27" s="1"/>
  <c r="P89" i="27"/>
  <c r="M99" i="27"/>
  <c r="U99" i="27" s="1"/>
  <c r="P115" i="27"/>
  <c r="P161" i="27"/>
  <c r="M235" i="27"/>
  <c r="U235" i="27" s="1"/>
  <c r="R235" i="27"/>
  <c r="P235" i="27"/>
  <c r="Q235" i="27" s="1"/>
  <c r="O235" i="27"/>
  <c r="N235" i="27"/>
  <c r="I114" i="27"/>
  <c r="L114" i="27" s="1"/>
  <c r="P114" i="27" s="1"/>
  <c r="P149" i="27"/>
  <c r="I42" i="27"/>
  <c r="L42" i="27" s="1"/>
  <c r="P42" i="27" s="1"/>
  <c r="I51" i="27"/>
  <c r="L51" i="27" s="1"/>
  <c r="N109" i="27"/>
  <c r="R109" i="27"/>
  <c r="I122" i="27"/>
  <c r="L122" i="27" s="1"/>
  <c r="M121" i="27" s="1"/>
  <c r="U121" i="27" s="1"/>
  <c r="M137" i="27"/>
  <c r="U137" i="27" s="1"/>
  <c r="O137" i="27"/>
  <c r="N137" i="27"/>
  <c r="R137" i="27"/>
  <c r="P157" i="27"/>
  <c r="O169" i="27"/>
  <c r="N169" i="27"/>
  <c r="P169" i="27"/>
  <c r="J189" i="27"/>
  <c r="I189" i="27" s="1"/>
  <c r="L189" i="27" s="1"/>
  <c r="P223" i="27"/>
  <c r="J82" i="27"/>
  <c r="I82" i="27" s="1"/>
  <c r="L82" i="27" s="1"/>
  <c r="P82" i="27" s="1"/>
  <c r="J91" i="27"/>
  <c r="I91" i="27" s="1"/>
  <c r="L91" i="27" s="1"/>
  <c r="J98" i="27"/>
  <c r="I98" i="27" s="1"/>
  <c r="L98" i="27" s="1"/>
  <c r="P98" i="27" s="1"/>
  <c r="N111" i="27"/>
  <c r="M111" i="27"/>
  <c r="U111" i="27" s="1"/>
  <c r="R111" i="27"/>
  <c r="P113" i="27"/>
  <c r="I133" i="27"/>
  <c r="L133" i="27" s="1"/>
  <c r="I150" i="27"/>
  <c r="L150" i="27" s="1"/>
  <c r="P150" i="27" s="1"/>
  <c r="P309" i="27"/>
  <c r="Q309" i="27" s="1"/>
  <c r="O309" i="27"/>
  <c r="N309" i="27"/>
  <c r="M309" i="27"/>
  <c r="U309" i="27" s="1"/>
  <c r="R309" i="27"/>
  <c r="I39" i="27"/>
  <c r="L39" i="27" s="1"/>
  <c r="I43" i="27"/>
  <c r="L43" i="27" s="1"/>
  <c r="I46" i="27"/>
  <c r="L46" i="27" s="1"/>
  <c r="I48" i="27"/>
  <c r="L48" i="27" s="1"/>
  <c r="P48" i="27" s="1"/>
  <c r="I64" i="27"/>
  <c r="L64" i="27" s="1"/>
  <c r="P64" i="27" s="1"/>
  <c r="J105" i="27"/>
  <c r="I105" i="27" s="1"/>
  <c r="L105" i="27" s="1"/>
  <c r="P109" i="27"/>
  <c r="O111" i="27"/>
  <c r="I117" i="27"/>
  <c r="L117" i="27" s="1"/>
  <c r="P121" i="27"/>
  <c r="P143" i="27"/>
  <c r="P153" i="27"/>
  <c r="I158" i="27"/>
  <c r="L158" i="27" s="1"/>
  <c r="N157" i="27" s="1"/>
  <c r="J167" i="27"/>
  <c r="I167" i="27" s="1"/>
  <c r="L167" i="27" s="1"/>
  <c r="J178" i="27"/>
  <c r="I178" i="27" s="1"/>
  <c r="L178" i="27" s="1"/>
  <c r="P193" i="27"/>
  <c r="Q193" i="27" s="1"/>
  <c r="O193" i="27"/>
  <c r="N193" i="27"/>
  <c r="M193" i="27"/>
  <c r="U193" i="27" s="1"/>
  <c r="R193" i="27"/>
  <c r="P302" i="27"/>
  <c r="N301" i="27"/>
  <c r="O313" i="27"/>
  <c r="N313" i="27"/>
  <c r="M313" i="27"/>
  <c r="U313" i="27" s="1"/>
  <c r="R313" i="27"/>
  <c r="P313" i="27"/>
  <c r="Q313" i="27" s="1"/>
  <c r="I63" i="27"/>
  <c r="L63" i="27" s="1"/>
  <c r="R103" i="27"/>
  <c r="P103" i="27"/>
  <c r="Q103" i="27" s="1"/>
  <c r="O103" i="27"/>
  <c r="P111" i="27"/>
  <c r="Q111" i="27" s="1"/>
  <c r="I125" i="27"/>
  <c r="L125" i="27" s="1"/>
  <c r="P151" i="27"/>
  <c r="P221" i="27"/>
  <c r="I229" i="27"/>
  <c r="L229" i="27" s="1"/>
  <c r="R71" i="27"/>
  <c r="P71" i="27"/>
  <c r="Q71" i="27" s="1"/>
  <c r="N71" i="27"/>
  <c r="R95" i="27"/>
  <c r="O95" i="27"/>
  <c r="N95" i="27"/>
  <c r="J97" i="27"/>
  <c r="I97" i="27" s="1"/>
  <c r="L97" i="27" s="1"/>
  <c r="M103" i="27"/>
  <c r="U103" i="27" s="1"/>
  <c r="R131" i="27"/>
  <c r="R239" i="27"/>
  <c r="P239" i="27"/>
  <c r="N239" i="27"/>
  <c r="O239" i="27"/>
  <c r="I101" i="27"/>
  <c r="L101" i="27" s="1"/>
  <c r="I106" i="27"/>
  <c r="L106" i="27" s="1"/>
  <c r="P106" i="27" s="1"/>
  <c r="I145" i="27"/>
  <c r="L145" i="27" s="1"/>
  <c r="J162" i="27"/>
  <c r="I162" i="27" s="1"/>
  <c r="L162" i="27" s="1"/>
  <c r="I172" i="27"/>
  <c r="L172" i="27" s="1"/>
  <c r="P172" i="27" s="1"/>
  <c r="P243" i="27"/>
  <c r="Q243" i="27" s="1"/>
  <c r="O243" i="27"/>
  <c r="N243" i="27"/>
  <c r="R243" i="27"/>
  <c r="M243" i="27"/>
  <c r="U243" i="27" s="1"/>
  <c r="J266" i="27"/>
  <c r="I266" i="27" s="1"/>
  <c r="L266" i="27" s="1"/>
  <c r="I146" i="27"/>
  <c r="L146" i="27" s="1"/>
  <c r="P146" i="27" s="1"/>
  <c r="I154" i="27"/>
  <c r="L154" i="27" s="1"/>
  <c r="I179" i="27"/>
  <c r="L179" i="27" s="1"/>
  <c r="P186" i="27"/>
  <c r="Q185" i="27" s="1"/>
  <c r="P219" i="27"/>
  <c r="Q219" i="27" s="1"/>
  <c r="O219" i="27"/>
  <c r="N219" i="27"/>
  <c r="P233" i="27"/>
  <c r="P253" i="27"/>
  <c r="J256" i="27"/>
  <c r="I256" i="27" s="1"/>
  <c r="L256" i="27" s="1"/>
  <c r="R129" i="27"/>
  <c r="O131" i="27"/>
  <c r="I182" i="27"/>
  <c r="L182" i="27" s="1"/>
  <c r="N181" i="27" s="1"/>
  <c r="J198" i="27"/>
  <c r="I198" i="27" s="1"/>
  <c r="L198" i="27" s="1"/>
  <c r="P198" i="27" s="1"/>
  <c r="J211" i="27"/>
  <c r="I211" i="27" s="1"/>
  <c r="L211" i="27" s="1"/>
  <c r="R217" i="27"/>
  <c r="P217" i="27"/>
  <c r="Q217" i="27" s="1"/>
  <c r="O217" i="27"/>
  <c r="M217" i="27"/>
  <c r="U217" i="27" s="1"/>
  <c r="M219" i="27"/>
  <c r="U219" i="27" s="1"/>
  <c r="O263" i="27"/>
  <c r="N263" i="27"/>
  <c r="M263" i="27"/>
  <c r="U263" i="27" s="1"/>
  <c r="P263" i="27"/>
  <c r="Q263" i="27" s="1"/>
  <c r="M129" i="27"/>
  <c r="U129" i="27" s="1"/>
  <c r="M131" i="27"/>
  <c r="U131" i="27" s="1"/>
  <c r="R219" i="27"/>
  <c r="J241" i="27"/>
  <c r="I241" i="27" s="1"/>
  <c r="L241" i="27" s="1"/>
  <c r="N129" i="27"/>
  <c r="N131" i="27"/>
  <c r="I164" i="27"/>
  <c r="L164" i="27" s="1"/>
  <c r="N185" i="27"/>
  <c r="N231" i="27"/>
  <c r="M231" i="27"/>
  <c r="U231" i="27" s="1"/>
  <c r="P245" i="27"/>
  <c r="Q245" i="27" s="1"/>
  <c r="O245" i="27"/>
  <c r="N245" i="27"/>
  <c r="M245" i="27"/>
  <c r="U245" i="27" s="1"/>
  <c r="R245" i="27"/>
  <c r="J258" i="27"/>
  <c r="I258" i="27" s="1"/>
  <c r="L258" i="27" s="1"/>
  <c r="P258" i="27" s="1"/>
  <c r="R263" i="27"/>
  <c r="O129" i="27"/>
  <c r="P131" i="27"/>
  <c r="Q131" i="27" s="1"/>
  <c r="J184" i="27"/>
  <c r="I184" i="27" s="1"/>
  <c r="L184" i="27" s="1"/>
  <c r="P251" i="27"/>
  <c r="J284" i="27"/>
  <c r="I284" i="27" s="1"/>
  <c r="L284" i="27" s="1"/>
  <c r="O247" i="27"/>
  <c r="M247" i="27"/>
  <c r="U247" i="27" s="1"/>
  <c r="R247" i="27"/>
  <c r="P247" i="27"/>
  <c r="Q247" i="27" s="1"/>
  <c r="R293" i="27"/>
  <c r="P293" i="27"/>
  <c r="Q293" i="27" s="1"/>
  <c r="O293" i="27"/>
  <c r="N293" i="27"/>
  <c r="M293" i="27"/>
  <c r="U293" i="27" s="1"/>
  <c r="P311" i="27"/>
  <c r="P333" i="27"/>
  <c r="J336" i="27"/>
  <c r="I336" i="27" s="1"/>
  <c r="L336" i="27" s="1"/>
  <c r="J208" i="27"/>
  <c r="I208" i="27" s="1"/>
  <c r="L208" i="27" s="1"/>
  <c r="M207" i="27" s="1"/>
  <c r="U207" i="27" s="1"/>
  <c r="M285" i="27"/>
  <c r="U285" i="27" s="1"/>
  <c r="R285" i="27"/>
  <c r="P285" i="27"/>
  <c r="Q285" i="27" s="1"/>
  <c r="O285" i="27"/>
  <c r="N285" i="27"/>
  <c r="P321" i="27"/>
  <c r="Q321" i="27" s="1"/>
  <c r="O321" i="27"/>
  <c r="N321" i="27"/>
  <c r="M321" i="27"/>
  <c r="U321" i="27" s="1"/>
  <c r="R321" i="27"/>
  <c r="R185" i="27"/>
  <c r="J224" i="27"/>
  <c r="I224" i="27" s="1"/>
  <c r="L224" i="27" s="1"/>
  <c r="J234" i="27"/>
  <c r="I234" i="27" s="1"/>
  <c r="L234" i="27" s="1"/>
  <c r="P234" i="27" s="1"/>
  <c r="N247" i="27"/>
  <c r="J252" i="27"/>
  <c r="I252" i="27" s="1"/>
  <c r="L252" i="27" s="1"/>
  <c r="P252" i="27" s="1"/>
  <c r="P257" i="27"/>
  <c r="P265" i="27"/>
  <c r="R289" i="27"/>
  <c r="P289" i="27"/>
  <c r="Q289" i="27" s="1"/>
  <c r="O289" i="27"/>
  <c r="N289" i="27"/>
  <c r="M185" i="27"/>
  <c r="U185" i="27" s="1"/>
  <c r="J201" i="27"/>
  <c r="I201" i="27" s="1"/>
  <c r="L201" i="27" s="1"/>
  <c r="M289" i="27"/>
  <c r="U289" i="27" s="1"/>
  <c r="P315" i="27"/>
  <c r="P337" i="27"/>
  <c r="P323" i="27"/>
  <c r="J339" i="27"/>
  <c r="I339" i="27" s="1"/>
  <c r="L339" i="27" s="1"/>
  <c r="I199" i="27"/>
  <c r="L199" i="27" s="1"/>
  <c r="I206" i="27"/>
  <c r="L206" i="27" s="1"/>
  <c r="O205" i="27" s="1"/>
  <c r="I209" i="27"/>
  <c r="L209" i="27" s="1"/>
  <c r="I222" i="27"/>
  <c r="L222" i="27" s="1"/>
  <c r="P222" i="27" s="1"/>
  <c r="I225" i="27"/>
  <c r="L225" i="27" s="1"/>
  <c r="I237" i="27"/>
  <c r="L237" i="27" s="1"/>
  <c r="I254" i="27"/>
  <c r="L254" i="27" s="1"/>
  <c r="P254" i="27" s="1"/>
  <c r="I300" i="27"/>
  <c r="L300" i="27" s="1"/>
  <c r="M299" i="27" s="1"/>
  <c r="U299" i="27" s="1"/>
  <c r="P327" i="27"/>
  <c r="I227" i="27"/>
  <c r="L227" i="27" s="1"/>
  <c r="I250" i="27"/>
  <c r="L250" i="27" s="1"/>
  <c r="O249" i="27" s="1"/>
  <c r="P259" i="27"/>
  <c r="J307" i="27"/>
  <c r="I307" i="27" s="1"/>
  <c r="L307" i="27" s="1"/>
  <c r="J319" i="27"/>
  <c r="I319" i="27" s="1"/>
  <c r="L319" i="27" s="1"/>
  <c r="J328" i="27"/>
  <c r="I328" i="27" s="1"/>
  <c r="L328" i="27" s="1"/>
  <c r="R327" i="27" s="1"/>
  <c r="I261" i="27"/>
  <c r="L261" i="27" s="1"/>
  <c r="R301" i="27"/>
  <c r="P301" i="27"/>
  <c r="O301" i="27"/>
  <c r="R317" i="27"/>
  <c r="P317" i="27"/>
  <c r="Q317" i="27" s="1"/>
  <c r="O317" i="27"/>
  <c r="R269" i="27"/>
  <c r="S269" i="27" s="1"/>
  <c r="P269" i="27"/>
  <c r="Q269" i="27" s="1"/>
  <c r="O269" i="27"/>
  <c r="N269" i="27"/>
  <c r="R271" i="27"/>
  <c r="P271" i="27"/>
  <c r="Q271" i="27" s="1"/>
  <c r="O271" i="27"/>
  <c r="N271" i="27"/>
  <c r="R273" i="27"/>
  <c r="P273" i="27"/>
  <c r="Q273" i="27" s="1"/>
  <c r="O273" i="27"/>
  <c r="N273" i="27"/>
  <c r="R275" i="27"/>
  <c r="P275" i="27"/>
  <c r="Q275" i="27" s="1"/>
  <c r="O275" i="27"/>
  <c r="N275" i="27"/>
  <c r="P277" i="27"/>
  <c r="I279" i="27"/>
  <c r="L279" i="27" s="1"/>
  <c r="I295" i="27"/>
  <c r="L295" i="27" s="1"/>
  <c r="P299" i="27"/>
  <c r="M301" i="27"/>
  <c r="U301" i="27" s="1"/>
  <c r="R303" i="27"/>
  <c r="P303" i="27"/>
  <c r="Q303" i="27" s="1"/>
  <c r="O303" i="27"/>
  <c r="N303" i="27"/>
  <c r="R305" i="27"/>
  <c r="S305" i="27" s="1"/>
  <c r="P305" i="27"/>
  <c r="Q305" i="27" s="1"/>
  <c r="O305" i="27"/>
  <c r="N305" i="27"/>
  <c r="M317" i="27"/>
  <c r="U317" i="27" s="1"/>
  <c r="J331" i="27"/>
  <c r="I331" i="27" s="1"/>
  <c r="L331" i="27" s="1"/>
  <c r="P335" i="27"/>
  <c r="I267" i="27"/>
  <c r="L267" i="27" s="1"/>
  <c r="I287" i="27"/>
  <c r="L287" i="27" s="1"/>
  <c r="I312" i="27"/>
  <c r="L312" i="27" s="1"/>
  <c r="P312" i="27" s="1"/>
  <c r="I324" i="27"/>
  <c r="L324" i="27" s="1"/>
  <c r="P324" i="27" s="1"/>
  <c r="I329" i="27"/>
  <c r="L329" i="27" s="1"/>
  <c r="I334" i="27"/>
  <c r="L334" i="27" s="1"/>
  <c r="P334" i="27" s="1"/>
  <c r="P206" i="36" l="1"/>
  <c r="G208" i="36"/>
  <c r="L207" i="36"/>
  <c r="P207" i="36" s="1"/>
  <c r="S25" i="27"/>
  <c r="P9" i="27"/>
  <c r="Q9" i="27" s="1"/>
  <c r="O187" i="27"/>
  <c r="M139" i="27"/>
  <c r="U139" i="27" s="1"/>
  <c r="R151" i="27"/>
  <c r="M249" i="27"/>
  <c r="U249" i="27" s="1"/>
  <c r="R325" i="27"/>
  <c r="M325" i="27"/>
  <c r="U325" i="27" s="1"/>
  <c r="S31" i="27"/>
  <c r="R89" i="27"/>
  <c r="M187" i="27"/>
  <c r="U187" i="27" s="1"/>
  <c r="N79" i="27"/>
  <c r="S275" i="27"/>
  <c r="O79" i="27"/>
  <c r="S271" i="27"/>
  <c r="S193" i="27"/>
  <c r="Q79" i="27"/>
  <c r="O277" i="27"/>
  <c r="M259" i="27"/>
  <c r="U259" i="27" s="1"/>
  <c r="Q277" i="27"/>
  <c r="N325" i="27"/>
  <c r="S95" i="27"/>
  <c r="N147" i="27"/>
  <c r="N195" i="27"/>
  <c r="N277" i="27"/>
  <c r="O337" i="27"/>
  <c r="M175" i="27"/>
  <c r="U175" i="27" s="1"/>
  <c r="N187" i="27"/>
  <c r="S139" i="27"/>
  <c r="S303" i="27"/>
  <c r="R277" i="27"/>
  <c r="R315" i="27"/>
  <c r="S315" i="27" s="1"/>
  <c r="O325" i="27"/>
  <c r="S321" i="27"/>
  <c r="R187" i="27"/>
  <c r="S245" i="27"/>
  <c r="O147" i="27"/>
  <c r="O115" i="27"/>
  <c r="R259" i="27"/>
  <c r="S259" i="27" s="1"/>
  <c r="R159" i="27"/>
  <c r="Q115" i="27"/>
  <c r="R147" i="27"/>
  <c r="N115" i="27"/>
  <c r="R175" i="27"/>
  <c r="O135" i="27"/>
  <c r="N151" i="27"/>
  <c r="S71" i="27"/>
  <c r="S23" i="27"/>
  <c r="O195" i="27"/>
  <c r="N19" i="27"/>
  <c r="O57" i="27"/>
  <c r="Q239" i="27"/>
  <c r="Q151" i="27"/>
  <c r="M109" i="27"/>
  <c r="U109" i="27" s="1"/>
  <c r="M147" i="27"/>
  <c r="U147" i="27" s="1"/>
  <c r="R115" i="27"/>
  <c r="Q19" i="27"/>
  <c r="S239" i="27"/>
  <c r="N315" i="27"/>
  <c r="N259" i="27"/>
  <c r="P147" i="27"/>
  <c r="Q147" i="27" s="1"/>
  <c r="P195" i="27"/>
  <c r="Q195" i="27" s="1"/>
  <c r="P57" i="27"/>
  <c r="Q57" i="27" s="1"/>
  <c r="M151" i="27"/>
  <c r="U151" i="27" s="1"/>
  <c r="N5" i="27"/>
  <c r="O109" i="27"/>
  <c r="P260" i="27"/>
  <c r="Q259" i="27" s="1"/>
  <c r="O175" i="27"/>
  <c r="R169" i="27"/>
  <c r="Q109" i="27"/>
  <c r="Q169" i="27"/>
  <c r="M115" i="27"/>
  <c r="U115" i="27" s="1"/>
  <c r="R195" i="27"/>
  <c r="S195" i="27" s="1"/>
  <c r="M19" i="27"/>
  <c r="U19" i="27" s="1"/>
  <c r="R57" i="27"/>
  <c r="S273" i="27"/>
  <c r="M169" i="27"/>
  <c r="U169" i="27" s="1"/>
  <c r="N135" i="27"/>
  <c r="O19" i="27"/>
  <c r="P298" i="27"/>
  <c r="Q297" i="27" s="1"/>
  <c r="R297" i="27"/>
  <c r="N297" i="27"/>
  <c r="M297" i="27"/>
  <c r="U297" i="27" s="1"/>
  <c r="O297" i="27"/>
  <c r="O127" i="27"/>
  <c r="N127" i="27"/>
  <c r="M127" i="27"/>
  <c r="U127" i="27" s="1"/>
  <c r="R127" i="27"/>
  <c r="P127" i="27"/>
  <c r="Q127" i="27" s="1"/>
  <c r="P124" i="27"/>
  <c r="Q123" i="27" s="1"/>
  <c r="R123" i="27"/>
  <c r="O119" i="27"/>
  <c r="P119" i="27"/>
  <c r="Q119" i="27" s="1"/>
  <c r="P144" i="27"/>
  <c r="Q143" i="27" s="1"/>
  <c r="O143" i="27"/>
  <c r="N143" i="27"/>
  <c r="N337" i="27"/>
  <c r="S247" i="27"/>
  <c r="M89" i="27"/>
  <c r="U89" i="27" s="1"/>
  <c r="R79" i="27"/>
  <c r="N57" i="27"/>
  <c r="P11" i="27"/>
  <c r="Q11" i="27" s="1"/>
  <c r="N173" i="27"/>
  <c r="N89" i="27"/>
  <c r="M83" i="27"/>
  <c r="U83" i="27" s="1"/>
  <c r="N139" i="27"/>
  <c r="N11" i="27"/>
  <c r="M79" i="27"/>
  <c r="U79" i="27" s="1"/>
  <c r="O89" i="27"/>
  <c r="N83" i="27"/>
  <c r="O139" i="27"/>
  <c r="O11" i="27"/>
  <c r="Q89" i="27"/>
  <c r="O83" i="27"/>
  <c r="P139" i="27"/>
  <c r="Q139" i="27" s="1"/>
  <c r="Q83" i="27"/>
  <c r="Q337" i="27"/>
  <c r="R337" i="27"/>
  <c r="O323" i="27"/>
  <c r="R83" i="27"/>
  <c r="M57" i="27"/>
  <c r="U57" i="27" s="1"/>
  <c r="Q301" i="27"/>
  <c r="M337" i="27"/>
  <c r="U337" i="27" s="1"/>
  <c r="S137" i="27"/>
  <c r="O151" i="27"/>
  <c r="P142" i="27"/>
  <c r="Q141" i="27" s="1"/>
  <c r="R141" i="27"/>
  <c r="P281" i="27"/>
  <c r="Q281" i="27" s="1"/>
  <c r="M281" i="27"/>
  <c r="U281" i="27" s="1"/>
  <c r="R281" i="27"/>
  <c r="S281" i="27" s="1"/>
  <c r="O281" i="27"/>
  <c r="N281" i="27"/>
  <c r="P292" i="27"/>
  <c r="Q291" i="27" s="1"/>
  <c r="R291" i="27"/>
  <c r="O291" i="27"/>
  <c r="N291" i="27"/>
  <c r="P62" i="27"/>
  <c r="Q61" i="27" s="1"/>
  <c r="O61" i="27"/>
  <c r="M61" i="27"/>
  <c r="U61" i="27" s="1"/>
  <c r="N61" i="27"/>
  <c r="R61" i="27"/>
  <c r="P165" i="27"/>
  <c r="Q165" i="27" s="1"/>
  <c r="N165" i="27"/>
  <c r="R165" i="27"/>
  <c r="O165" i="27"/>
  <c r="M165" i="27"/>
  <c r="U165" i="27" s="1"/>
  <c r="P266" i="27"/>
  <c r="Q265" i="27" s="1"/>
  <c r="R265" i="27"/>
  <c r="N265" i="27"/>
  <c r="O265" i="27"/>
  <c r="M265" i="27"/>
  <c r="U265" i="27" s="1"/>
  <c r="Q17" i="27"/>
  <c r="M143" i="27"/>
  <c r="U143" i="27" s="1"/>
  <c r="M173" i="27"/>
  <c r="U173" i="27" s="1"/>
  <c r="O173" i="27"/>
  <c r="R47" i="27"/>
  <c r="S215" i="27"/>
  <c r="S17" i="27"/>
  <c r="R119" i="27"/>
  <c r="S21" i="27"/>
  <c r="M323" i="27"/>
  <c r="U323" i="27" s="1"/>
  <c r="N175" i="27"/>
  <c r="S217" i="27"/>
  <c r="M141" i="27"/>
  <c r="U141" i="27" s="1"/>
  <c r="Q47" i="27"/>
  <c r="M119" i="27"/>
  <c r="U119" i="27" s="1"/>
  <c r="M9" i="27"/>
  <c r="U9" i="27" s="1"/>
  <c r="S55" i="27"/>
  <c r="O311" i="27"/>
  <c r="O231" i="27"/>
  <c r="M123" i="27"/>
  <c r="U123" i="27" s="1"/>
  <c r="N123" i="27"/>
  <c r="N141" i="27"/>
  <c r="S93" i="27"/>
  <c r="N119" i="27"/>
  <c r="N9" i="27"/>
  <c r="M277" i="27"/>
  <c r="U277" i="27" s="1"/>
  <c r="M159" i="27"/>
  <c r="U159" i="27" s="1"/>
  <c r="O159" i="27"/>
  <c r="R311" i="27"/>
  <c r="S175" i="27"/>
  <c r="N159" i="27"/>
  <c r="S289" i="27"/>
  <c r="M205" i="27"/>
  <c r="U205" i="27" s="1"/>
  <c r="Q323" i="27"/>
  <c r="O123" i="27"/>
  <c r="P135" i="27"/>
  <c r="Q135" i="27" s="1"/>
  <c r="O141" i="27"/>
  <c r="S29" i="27"/>
  <c r="R9" i="27"/>
  <c r="M291" i="27"/>
  <c r="U291" i="27" s="1"/>
  <c r="P159" i="27"/>
  <c r="Q159" i="27" s="1"/>
  <c r="R173" i="27"/>
  <c r="S263" i="27"/>
  <c r="R231" i="27"/>
  <c r="S231" i="27" s="1"/>
  <c r="S313" i="27"/>
  <c r="R143" i="27"/>
  <c r="R135" i="27"/>
  <c r="S135" i="27" s="1"/>
  <c r="N47" i="27"/>
  <c r="S11" i="27"/>
  <c r="O253" i="27"/>
  <c r="R233" i="27"/>
  <c r="O197" i="27"/>
  <c r="S185" i="27"/>
  <c r="M181" i="27"/>
  <c r="U181" i="27" s="1"/>
  <c r="Q149" i="27"/>
  <c r="M149" i="27"/>
  <c r="U149" i="27" s="1"/>
  <c r="N113" i="27"/>
  <c r="Q113" i="27"/>
  <c r="R113" i="27"/>
  <c r="M113" i="27"/>
  <c r="U113" i="27" s="1"/>
  <c r="O113" i="27"/>
  <c r="S111" i="27"/>
  <c r="S107" i="27"/>
  <c r="S69" i="27"/>
  <c r="S67" i="27"/>
  <c r="P336" i="27"/>
  <c r="O335" i="27"/>
  <c r="M335" i="27"/>
  <c r="U335" i="27" s="1"/>
  <c r="R335" i="27"/>
  <c r="N335" i="27"/>
  <c r="O183" i="27"/>
  <c r="N183" i="27"/>
  <c r="M183" i="27"/>
  <c r="U183" i="27" s="1"/>
  <c r="P184" i="27"/>
  <c r="Q183" i="27" s="1"/>
  <c r="R183" i="27"/>
  <c r="P167" i="27"/>
  <c r="Q167" i="27" s="1"/>
  <c r="O167" i="27"/>
  <c r="R167" i="27"/>
  <c r="N167" i="27"/>
  <c r="M167" i="27"/>
  <c r="U167" i="27" s="1"/>
  <c r="R87" i="27"/>
  <c r="P87" i="27"/>
  <c r="Q87" i="27" s="1"/>
  <c r="N87" i="27"/>
  <c r="M87" i="27"/>
  <c r="U87" i="27" s="1"/>
  <c r="O87" i="27"/>
  <c r="R65" i="27"/>
  <c r="P65" i="27"/>
  <c r="Q65" i="27" s="1"/>
  <c r="O65" i="27"/>
  <c r="N65" i="27"/>
  <c r="M65" i="27"/>
  <c r="U65" i="27" s="1"/>
  <c r="P162" i="27"/>
  <c r="Q161" i="27" s="1"/>
  <c r="N161" i="27"/>
  <c r="M161" i="27"/>
  <c r="U161" i="27" s="1"/>
  <c r="R161" i="27"/>
  <c r="O161" i="27"/>
  <c r="P14" i="27"/>
  <c r="Q13" i="27" s="1"/>
  <c r="O13" i="27"/>
  <c r="R13" i="27"/>
  <c r="N13" i="27"/>
  <c r="M13" i="27"/>
  <c r="U13" i="27" s="1"/>
  <c r="P224" i="27"/>
  <c r="Q223" i="27" s="1"/>
  <c r="O223" i="27"/>
  <c r="N223" i="27"/>
  <c r="R223" i="27"/>
  <c r="M223" i="27"/>
  <c r="U223" i="27" s="1"/>
  <c r="N81" i="27"/>
  <c r="M81" i="27"/>
  <c r="U81" i="27" s="1"/>
  <c r="R81" i="27"/>
  <c r="P81" i="27"/>
  <c r="Q81" i="27" s="1"/>
  <c r="O81" i="27"/>
  <c r="P178" i="27"/>
  <c r="Q177" i="27" s="1"/>
  <c r="N177" i="27"/>
  <c r="M177" i="27"/>
  <c r="U177" i="27" s="1"/>
  <c r="O177" i="27"/>
  <c r="R177" i="27"/>
  <c r="R331" i="27"/>
  <c r="P331" i="27"/>
  <c r="Q331" i="27" s="1"/>
  <c r="O331" i="27"/>
  <c r="N331" i="27"/>
  <c r="M331" i="27"/>
  <c r="U331" i="27" s="1"/>
  <c r="R211" i="27"/>
  <c r="P211" i="27"/>
  <c r="Q211" i="27" s="1"/>
  <c r="O211" i="27"/>
  <c r="M211" i="27"/>
  <c r="U211" i="27" s="1"/>
  <c r="N211" i="27"/>
  <c r="P256" i="27"/>
  <c r="Q255" i="27" s="1"/>
  <c r="R255" i="27"/>
  <c r="O255" i="27"/>
  <c r="N255" i="27"/>
  <c r="M255" i="27"/>
  <c r="U255" i="27" s="1"/>
  <c r="N91" i="27"/>
  <c r="M91" i="27"/>
  <c r="U91" i="27" s="1"/>
  <c r="R91" i="27"/>
  <c r="P91" i="27"/>
  <c r="Q91" i="27" s="1"/>
  <c r="O91" i="27"/>
  <c r="O191" i="27"/>
  <c r="N191" i="27"/>
  <c r="R191" i="27"/>
  <c r="P191" i="27"/>
  <c r="Q191" i="27" s="1"/>
  <c r="M191" i="27"/>
  <c r="U191" i="27" s="1"/>
  <c r="R199" i="27"/>
  <c r="N199" i="27"/>
  <c r="M199" i="27"/>
  <c r="U199" i="27" s="1"/>
  <c r="P199" i="27"/>
  <c r="Q199" i="27" s="1"/>
  <c r="O199" i="27"/>
  <c r="P284" i="27"/>
  <c r="Q283" i="27" s="1"/>
  <c r="O283" i="27"/>
  <c r="P154" i="27"/>
  <c r="Q153" i="27" s="1"/>
  <c r="R153" i="27"/>
  <c r="M41" i="27"/>
  <c r="U41" i="27" s="1"/>
  <c r="R41" i="27"/>
  <c r="P41" i="27"/>
  <c r="Q41" i="27" s="1"/>
  <c r="N41" i="27"/>
  <c r="O41" i="27"/>
  <c r="R329" i="27"/>
  <c r="P329" i="27"/>
  <c r="Q329" i="27" s="1"/>
  <c r="O329" i="27"/>
  <c r="N329" i="27"/>
  <c r="M329" i="27"/>
  <c r="U329" i="27" s="1"/>
  <c r="N145" i="27"/>
  <c r="P145" i="27"/>
  <c r="Q145" i="27" s="1"/>
  <c r="O145" i="27"/>
  <c r="M145" i="27"/>
  <c r="U145" i="27" s="1"/>
  <c r="R145" i="27"/>
  <c r="Q197" i="27"/>
  <c r="S301" i="27"/>
  <c r="N257" i="27"/>
  <c r="M311" i="27"/>
  <c r="U311" i="27" s="1"/>
  <c r="S293" i="27"/>
  <c r="O251" i="27"/>
  <c r="R241" i="27"/>
  <c r="P241" i="27"/>
  <c r="Q241" i="27" s="1"/>
  <c r="O241" i="27"/>
  <c r="M241" i="27"/>
  <c r="U241" i="27" s="1"/>
  <c r="N241" i="27"/>
  <c r="R253" i="27"/>
  <c r="N233" i="27"/>
  <c r="S243" i="27"/>
  <c r="R221" i="27"/>
  <c r="P125" i="27"/>
  <c r="Q125" i="27" s="1"/>
  <c r="O125" i="27"/>
  <c r="N125" i="27"/>
  <c r="M125" i="27"/>
  <c r="U125" i="27" s="1"/>
  <c r="R125" i="27"/>
  <c r="P158" i="27"/>
  <c r="Q157" i="27" s="1"/>
  <c r="M157" i="27"/>
  <c r="U157" i="27" s="1"/>
  <c r="M197" i="27"/>
  <c r="U197" i="27" s="1"/>
  <c r="N149" i="27"/>
  <c r="R49" i="27"/>
  <c r="O49" i="27"/>
  <c r="N49" i="27"/>
  <c r="M49" i="27"/>
  <c r="U49" i="27" s="1"/>
  <c r="P49" i="27"/>
  <c r="Q49" i="27" s="1"/>
  <c r="M73" i="27"/>
  <c r="U73" i="27" s="1"/>
  <c r="R339" i="27"/>
  <c r="P339" i="27"/>
  <c r="Q339" i="27" s="1"/>
  <c r="O339" i="27"/>
  <c r="N339" i="27"/>
  <c r="M339" i="27"/>
  <c r="U339" i="27" s="1"/>
  <c r="M233" i="27"/>
  <c r="U233" i="27" s="1"/>
  <c r="R97" i="27"/>
  <c r="P97" i="27"/>
  <c r="Q97" i="27" s="1"/>
  <c r="N97" i="27"/>
  <c r="M97" i="27"/>
  <c r="U97" i="27" s="1"/>
  <c r="O97" i="27"/>
  <c r="P261" i="27"/>
  <c r="Q261" i="27" s="1"/>
  <c r="O261" i="27"/>
  <c r="N261" i="27"/>
  <c r="M261" i="27"/>
  <c r="U261" i="27" s="1"/>
  <c r="R261" i="27"/>
  <c r="R323" i="27"/>
  <c r="R237" i="27"/>
  <c r="O237" i="27"/>
  <c r="M237" i="27"/>
  <c r="U237" i="27" s="1"/>
  <c r="P237" i="27"/>
  <c r="Q237" i="27" s="1"/>
  <c r="N237" i="27"/>
  <c r="O257" i="27"/>
  <c r="N311" i="27"/>
  <c r="M251" i="27"/>
  <c r="U251" i="27" s="1"/>
  <c r="P182" i="27"/>
  <c r="Q181" i="27" s="1"/>
  <c r="O181" i="27"/>
  <c r="N253" i="27"/>
  <c r="N101" i="27"/>
  <c r="M101" i="27"/>
  <c r="U101" i="27" s="1"/>
  <c r="R101" i="27"/>
  <c r="P101" i="27"/>
  <c r="Q101" i="27" s="1"/>
  <c r="O101" i="27"/>
  <c r="M221" i="27"/>
  <c r="U221" i="27" s="1"/>
  <c r="S103" i="27"/>
  <c r="R181" i="27"/>
  <c r="M153" i="27"/>
  <c r="U153" i="27" s="1"/>
  <c r="R121" i="27"/>
  <c r="S121" i="27" s="1"/>
  <c r="N197" i="27"/>
  <c r="O149" i="27"/>
  <c r="S37" i="27"/>
  <c r="O73" i="27"/>
  <c r="M15" i="27"/>
  <c r="U15" i="27" s="1"/>
  <c r="P15" i="27"/>
  <c r="Q15" i="27" s="1"/>
  <c r="O15" i="27"/>
  <c r="N15" i="27"/>
  <c r="R15" i="27"/>
  <c r="S213" i="27"/>
  <c r="S19" i="27"/>
  <c r="P328" i="27"/>
  <c r="Q327" i="27" s="1"/>
  <c r="O327" i="27"/>
  <c r="R287" i="27"/>
  <c r="P287" i="27"/>
  <c r="Q287" i="27" s="1"/>
  <c r="O287" i="27"/>
  <c r="N287" i="27"/>
  <c r="M287" i="27"/>
  <c r="U287" i="27" s="1"/>
  <c r="O233" i="27"/>
  <c r="Q253" i="27"/>
  <c r="S131" i="27"/>
  <c r="N221" i="27"/>
  <c r="N63" i="27"/>
  <c r="R63" i="27"/>
  <c r="P63" i="27"/>
  <c r="Q63" i="27" s="1"/>
  <c r="O63" i="27"/>
  <c r="M63" i="27"/>
  <c r="U63" i="27" s="1"/>
  <c r="O153" i="27"/>
  <c r="N45" i="27"/>
  <c r="R45" i="27"/>
  <c r="O45" i="27"/>
  <c r="P46" i="27"/>
  <c r="Q45" i="27" s="1"/>
  <c r="R171" i="27"/>
  <c r="N171" i="27"/>
  <c r="M45" i="27"/>
  <c r="U45" i="27" s="1"/>
  <c r="N73" i="27"/>
  <c r="P316" i="27"/>
  <c r="Q315" i="27" s="1"/>
  <c r="O315" i="27"/>
  <c r="R155" i="27"/>
  <c r="P155" i="27"/>
  <c r="Q155" i="27" s="1"/>
  <c r="O155" i="27"/>
  <c r="N155" i="27"/>
  <c r="M155" i="27"/>
  <c r="U155" i="27" s="1"/>
  <c r="P53" i="27"/>
  <c r="Q53" i="27" s="1"/>
  <c r="R53" i="27"/>
  <c r="O53" i="27"/>
  <c r="N53" i="27"/>
  <c r="M53" i="27"/>
  <c r="U53" i="27" s="1"/>
  <c r="S99" i="27"/>
  <c r="S27" i="27"/>
  <c r="P229" i="27"/>
  <c r="Q229" i="27" s="1"/>
  <c r="O229" i="27"/>
  <c r="N229" i="27"/>
  <c r="R229" i="27"/>
  <c r="M229" i="27"/>
  <c r="U229" i="27" s="1"/>
  <c r="R299" i="27"/>
  <c r="S299" i="27" s="1"/>
  <c r="R319" i="27"/>
  <c r="P319" i="27"/>
  <c r="Q319" i="27" s="1"/>
  <c r="O319" i="27"/>
  <c r="N319" i="27"/>
  <c r="M319" i="27"/>
  <c r="U319" i="27" s="1"/>
  <c r="R283" i="27"/>
  <c r="R225" i="27"/>
  <c r="O225" i="27"/>
  <c r="P225" i="27"/>
  <c r="Q225" i="27" s="1"/>
  <c r="N225" i="27"/>
  <c r="M225" i="27"/>
  <c r="U225" i="27" s="1"/>
  <c r="M327" i="27"/>
  <c r="U327" i="27" s="1"/>
  <c r="Q257" i="27"/>
  <c r="R251" i="27"/>
  <c r="R267" i="27"/>
  <c r="P267" i="27"/>
  <c r="Q267" i="27" s="1"/>
  <c r="O267" i="27"/>
  <c r="M267" i="27"/>
  <c r="U267" i="27" s="1"/>
  <c r="N267" i="27"/>
  <c r="M283" i="27"/>
  <c r="U283" i="27" s="1"/>
  <c r="N327" i="27"/>
  <c r="R257" i="27"/>
  <c r="S285" i="27"/>
  <c r="M333" i="27"/>
  <c r="U333" i="27" s="1"/>
  <c r="Q311" i="27"/>
  <c r="N251" i="27"/>
  <c r="S219" i="27"/>
  <c r="M253" i="27"/>
  <c r="U253" i="27" s="1"/>
  <c r="O221" i="27"/>
  <c r="P117" i="27"/>
  <c r="Q117" i="27" s="1"/>
  <c r="O117" i="27"/>
  <c r="N117" i="27"/>
  <c r="M117" i="27"/>
  <c r="U117" i="27" s="1"/>
  <c r="R117" i="27"/>
  <c r="R43" i="27"/>
  <c r="O43" i="27"/>
  <c r="P43" i="27"/>
  <c r="Q43" i="27" s="1"/>
  <c r="N43" i="27"/>
  <c r="M43" i="27"/>
  <c r="U43" i="27" s="1"/>
  <c r="O157" i="27"/>
  <c r="P51" i="27"/>
  <c r="Q51" i="27" s="1"/>
  <c r="O51" i="27"/>
  <c r="N51" i="27"/>
  <c r="M51" i="27"/>
  <c r="U51" i="27" s="1"/>
  <c r="R51" i="27"/>
  <c r="O171" i="27"/>
  <c r="R149" i="27"/>
  <c r="S85" i="27"/>
  <c r="S35" i="27"/>
  <c r="Q73" i="27"/>
  <c r="P279" i="27"/>
  <c r="Q279" i="27" s="1"/>
  <c r="O279" i="27"/>
  <c r="N279" i="27"/>
  <c r="M279" i="27"/>
  <c r="U279" i="27" s="1"/>
  <c r="R279" i="27"/>
  <c r="Q333" i="27"/>
  <c r="P250" i="27"/>
  <c r="Q249" i="27" s="1"/>
  <c r="N249" i="27"/>
  <c r="R249" i="27"/>
  <c r="S249" i="27" s="1"/>
  <c r="R163" i="27"/>
  <c r="N163" i="27"/>
  <c r="P164" i="27"/>
  <c r="Q163" i="27" s="1"/>
  <c r="O163" i="27"/>
  <c r="Q221" i="27"/>
  <c r="N153" i="27"/>
  <c r="R39" i="27"/>
  <c r="P39" i="27"/>
  <c r="Q39" i="27" s="1"/>
  <c r="N39" i="27"/>
  <c r="O39" i="27"/>
  <c r="M39" i="27"/>
  <c r="U39" i="27" s="1"/>
  <c r="P133" i="27"/>
  <c r="Q133" i="27" s="1"/>
  <c r="N133" i="27"/>
  <c r="R133" i="27"/>
  <c r="O133" i="27"/>
  <c r="M133" i="27"/>
  <c r="U133" i="27" s="1"/>
  <c r="P189" i="27"/>
  <c r="Q189" i="27" s="1"/>
  <c r="R189" i="27"/>
  <c r="O189" i="27"/>
  <c r="N189" i="27"/>
  <c r="M189" i="27"/>
  <c r="U189" i="27" s="1"/>
  <c r="Q171" i="27"/>
  <c r="P7" i="27"/>
  <c r="Q7" i="27" s="1"/>
  <c r="M7" i="27"/>
  <c r="U7" i="27" s="1"/>
  <c r="R7" i="27"/>
  <c r="S7" i="27" s="1"/>
  <c r="O7" i="27"/>
  <c r="N7" i="27"/>
  <c r="R73" i="27"/>
  <c r="P34" i="27"/>
  <c r="Q33" i="27" s="1"/>
  <c r="O33" i="27"/>
  <c r="N33" i="27"/>
  <c r="P208" i="27"/>
  <c r="Q207" i="27" s="1"/>
  <c r="R207" i="27"/>
  <c r="S207" i="27" s="1"/>
  <c r="O207" i="27"/>
  <c r="R105" i="27"/>
  <c r="P105" i="27"/>
  <c r="Q105" i="27" s="1"/>
  <c r="O105" i="27"/>
  <c r="N105" i="27"/>
  <c r="M105" i="27"/>
  <c r="U105" i="27" s="1"/>
  <c r="P122" i="27"/>
  <c r="Q121" i="27" s="1"/>
  <c r="N121" i="27"/>
  <c r="O121" i="27"/>
  <c r="P300" i="27"/>
  <c r="Q299" i="27" s="1"/>
  <c r="O299" i="27"/>
  <c r="N299" i="27"/>
  <c r="M257" i="27"/>
  <c r="U257" i="27" s="1"/>
  <c r="Q335" i="27"/>
  <c r="P295" i="27"/>
  <c r="Q295" i="27" s="1"/>
  <c r="O295" i="27"/>
  <c r="N295" i="27"/>
  <c r="M295" i="27"/>
  <c r="U295" i="27" s="1"/>
  <c r="R295" i="27"/>
  <c r="R307" i="27"/>
  <c r="P307" i="27"/>
  <c r="Q307" i="27" s="1"/>
  <c r="O307" i="27"/>
  <c r="N307" i="27"/>
  <c r="M307" i="27"/>
  <c r="U307" i="27" s="1"/>
  <c r="N283" i="27"/>
  <c r="R209" i="27"/>
  <c r="O209" i="27"/>
  <c r="P209" i="27"/>
  <c r="Q209" i="27" s="1"/>
  <c r="N209" i="27"/>
  <c r="M209" i="27"/>
  <c r="U209" i="27" s="1"/>
  <c r="R201" i="27"/>
  <c r="P201" i="27"/>
  <c r="Q201" i="27" s="1"/>
  <c r="O201" i="27"/>
  <c r="N201" i="27"/>
  <c r="M201" i="27"/>
  <c r="U201" i="27" s="1"/>
  <c r="N207" i="27"/>
  <c r="N333" i="27"/>
  <c r="Q251" i="27"/>
  <c r="S317" i="27"/>
  <c r="R227" i="27"/>
  <c r="P227" i="27"/>
  <c r="Q227" i="27" s="1"/>
  <c r="N227" i="27"/>
  <c r="O227" i="27"/>
  <c r="M227" i="27"/>
  <c r="U227" i="27" s="1"/>
  <c r="P206" i="27"/>
  <c r="Q205" i="27" s="1"/>
  <c r="R205" i="27"/>
  <c r="N323" i="27"/>
  <c r="R333" i="27"/>
  <c r="O333" i="27"/>
  <c r="S187" i="27"/>
  <c r="M163" i="27"/>
  <c r="U163" i="27" s="1"/>
  <c r="N205" i="27"/>
  <c r="S129" i="27"/>
  <c r="Q233" i="27"/>
  <c r="N179" i="27"/>
  <c r="R179" i="27"/>
  <c r="P179" i="27"/>
  <c r="Q179" i="27" s="1"/>
  <c r="O179" i="27"/>
  <c r="M179" i="27"/>
  <c r="U179" i="27" s="1"/>
  <c r="S169" i="27"/>
  <c r="S309" i="27"/>
  <c r="R157" i="27"/>
  <c r="R197" i="27"/>
  <c r="M171" i="27"/>
  <c r="U171" i="27" s="1"/>
  <c r="S235" i="27"/>
  <c r="S77" i="27"/>
  <c r="R33" i="27"/>
  <c r="S33" i="27" s="1"/>
  <c r="S75" i="27"/>
  <c r="O47" i="27"/>
  <c r="S203" i="27"/>
  <c r="M47" i="27"/>
  <c r="U47" i="27" s="1"/>
  <c r="S59" i="27"/>
  <c r="L208" i="36" l="1"/>
  <c r="G209" i="36"/>
  <c r="M206" i="36"/>
  <c r="U206" i="36" s="1"/>
  <c r="Q206" i="36"/>
  <c r="R206" i="36"/>
  <c r="S206" i="36" s="1"/>
  <c r="O206" i="36"/>
  <c r="N206" i="36"/>
  <c r="S297" i="27"/>
  <c r="S325" i="27"/>
  <c r="S165" i="27"/>
  <c r="S83" i="27"/>
  <c r="S127" i="27"/>
  <c r="R5" i="27"/>
  <c r="M5" i="27"/>
  <c r="U5" i="27" s="1"/>
  <c r="V1" i="27" s="1"/>
  <c r="S147" i="27"/>
  <c r="S177" i="27"/>
  <c r="S205" i="27"/>
  <c r="S307" i="27"/>
  <c r="O5" i="27"/>
  <c r="S9" i="27"/>
  <c r="S123" i="27"/>
  <c r="S57" i="27"/>
  <c r="S181" i="27"/>
  <c r="S265" i="27"/>
  <c r="S41" i="27"/>
  <c r="S109" i="27"/>
  <c r="Q5" i="27"/>
  <c r="S89" i="27"/>
  <c r="S115" i="27"/>
  <c r="S151" i="27"/>
  <c r="S149" i="27"/>
  <c r="S159" i="27"/>
  <c r="S295" i="27"/>
  <c r="S51" i="27"/>
  <c r="S145" i="27"/>
  <c r="S79" i="27"/>
  <c r="S251" i="27"/>
  <c r="S233" i="27"/>
  <c r="S119" i="27"/>
  <c r="S173" i="27"/>
  <c r="S141" i="27"/>
  <c r="S337" i="27"/>
  <c r="S113" i="27"/>
  <c r="S61" i="27"/>
  <c r="S87" i="27"/>
  <c r="S319" i="27"/>
  <c r="S179" i="27"/>
  <c r="S73" i="27"/>
  <c r="S227" i="27"/>
  <c r="S225" i="27"/>
  <c r="S65" i="27"/>
  <c r="S277" i="27"/>
  <c r="S291" i="27"/>
  <c r="S133" i="27"/>
  <c r="S197" i="27"/>
  <c r="S255" i="27"/>
  <c r="S157" i="27"/>
  <c r="S201" i="27"/>
  <c r="S229" i="27"/>
  <c r="S323" i="27"/>
  <c r="S339" i="27"/>
  <c r="S335" i="27"/>
  <c r="S143" i="27"/>
  <c r="S311" i="27"/>
  <c r="S189" i="27"/>
  <c r="S15" i="27"/>
  <c r="S47" i="27"/>
  <c r="S327" i="27"/>
  <c r="S257" i="27"/>
  <c r="S267" i="27"/>
  <c r="S171" i="27"/>
  <c r="S97" i="27"/>
  <c r="S153" i="27"/>
  <c r="S199" i="27"/>
  <c r="S91" i="27"/>
  <c r="S161" i="27"/>
  <c r="S167" i="27"/>
  <c r="S223" i="27"/>
  <c r="S43" i="27"/>
  <c r="S283" i="27"/>
  <c r="S63" i="27"/>
  <c r="S221" i="27"/>
  <c r="S241" i="27"/>
  <c r="S331" i="27"/>
  <c r="S209" i="27"/>
  <c r="S105" i="27"/>
  <c r="S39" i="27"/>
  <c r="S163" i="27"/>
  <c r="S279" i="27"/>
  <c r="S117" i="27"/>
  <c r="S155" i="27"/>
  <c r="S237" i="27"/>
  <c r="S329" i="27"/>
  <c r="S81" i="27"/>
  <c r="S333" i="27"/>
  <c r="S45" i="27"/>
  <c r="S191" i="27"/>
  <c r="S183" i="27"/>
  <c r="S53" i="27"/>
  <c r="S287" i="27"/>
  <c r="S101" i="27"/>
  <c r="S261" i="27"/>
  <c r="S49" i="27"/>
  <c r="S125" i="27"/>
  <c r="S253" i="27"/>
  <c r="S211" i="27"/>
  <c r="S13" i="27"/>
  <c r="G210" i="36" l="1"/>
  <c r="L209" i="36"/>
  <c r="P209" i="36" s="1"/>
  <c r="P208" i="36"/>
  <c r="Q208" i="36" s="1"/>
  <c r="R208" i="36"/>
  <c r="O208" i="36"/>
  <c r="M208" i="36"/>
  <c r="U208" i="36" s="1"/>
  <c r="N208" i="36"/>
  <c r="S5" i="27"/>
  <c r="L20" i="26"/>
  <c r="P20" i="26" s="1"/>
  <c r="I20" i="26"/>
  <c r="N19" i="26"/>
  <c r="L19" i="26"/>
  <c r="I19" i="26"/>
  <c r="L18" i="26"/>
  <c r="P18" i="26" s="1"/>
  <c r="J18" i="26"/>
  <c r="I18" i="26" s="1"/>
  <c r="L17" i="26"/>
  <c r="J17" i="26"/>
  <c r="I17" i="26" s="1"/>
  <c r="L16" i="26"/>
  <c r="P16" i="26" s="1"/>
  <c r="J16" i="26"/>
  <c r="I16" i="26" s="1"/>
  <c r="R15" i="26"/>
  <c r="N15" i="26"/>
  <c r="L15" i="26"/>
  <c r="O15" i="26" s="1"/>
  <c r="J15" i="26"/>
  <c r="I15" i="26" s="1"/>
  <c r="L14" i="26"/>
  <c r="P14" i="26" s="1"/>
  <c r="J14" i="26"/>
  <c r="I14" i="26" s="1"/>
  <c r="L13" i="26"/>
  <c r="P13" i="26" s="1"/>
  <c r="J13" i="26"/>
  <c r="I13" i="26" s="1"/>
  <c r="P12" i="26"/>
  <c r="J12" i="26"/>
  <c r="I12" i="26" s="1"/>
  <c r="L11" i="26"/>
  <c r="N11" i="26" s="1"/>
  <c r="J11" i="26"/>
  <c r="I11" i="26"/>
  <c r="L10" i="26"/>
  <c r="P10" i="26" s="1"/>
  <c r="I10" i="26"/>
  <c r="L9" i="26"/>
  <c r="N9" i="26" s="1"/>
  <c r="I9" i="26"/>
  <c r="L8" i="26"/>
  <c r="P8" i="26" s="1"/>
  <c r="I8" i="26"/>
  <c r="L7" i="26"/>
  <c r="P7" i="26" s="1"/>
  <c r="Q7" i="26" s="1"/>
  <c r="I7" i="26"/>
  <c r="P6" i="26"/>
  <c r="L6" i="26"/>
  <c r="L5" i="26"/>
  <c r="N5" i="26" s="1"/>
  <c r="J5" i="26"/>
  <c r="I5" i="26"/>
  <c r="S208" i="36" l="1"/>
  <c r="G211" i="36"/>
  <c r="L210" i="36"/>
  <c r="O5" i="26"/>
  <c r="R5" i="26"/>
  <c r="O11" i="26"/>
  <c r="R11" i="26"/>
  <c r="M7" i="26"/>
  <c r="N7" i="26"/>
  <c r="R19" i="26"/>
  <c r="S19" i="26" s="1"/>
  <c r="R17" i="26"/>
  <c r="S17" i="26"/>
  <c r="N17" i="26"/>
  <c r="M15" i="26"/>
  <c r="P15" i="26"/>
  <c r="Q15" i="26" s="1"/>
  <c r="Q13" i="26"/>
  <c r="M9" i="26"/>
  <c r="O9" i="26"/>
  <c r="R9" i="26"/>
  <c r="P9" i="26"/>
  <c r="Q9" i="26" s="1"/>
  <c r="R7" i="26"/>
  <c r="S7" i="26" s="1"/>
  <c r="P5" i="26"/>
  <c r="Q5" i="26" s="1"/>
  <c r="P11" i="26"/>
  <c r="Q11" i="26" s="1"/>
  <c r="R13" i="26"/>
  <c r="P19" i="26"/>
  <c r="Q19" i="26" s="1"/>
  <c r="O17" i="26"/>
  <c r="P17" i="26"/>
  <c r="Q17" i="26" s="1"/>
  <c r="M13" i="26"/>
  <c r="O7" i="26"/>
  <c r="I6" i="26"/>
  <c r="M11" i="26"/>
  <c r="O13" i="26"/>
  <c r="N13" i="26"/>
  <c r="O19" i="26"/>
  <c r="G212" i="36" l="1"/>
  <c r="L211" i="36"/>
  <c r="P211" i="36" s="1"/>
  <c r="P210" i="36"/>
  <c r="O210" i="36"/>
  <c r="R210" i="36"/>
  <c r="S9" i="26"/>
  <c r="S15" i="26"/>
  <c r="S13" i="26"/>
  <c r="V1" i="26"/>
  <c r="S5" i="26"/>
  <c r="S11" i="26"/>
  <c r="P76" i="25"/>
  <c r="L76" i="25"/>
  <c r="J76" i="25"/>
  <c r="I76" i="25" s="1"/>
  <c r="R75" i="25"/>
  <c r="S75" i="25" s="1"/>
  <c r="P75" i="25"/>
  <c r="Q75" i="25" s="1"/>
  <c r="O75" i="25"/>
  <c r="N75" i="25"/>
  <c r="M75" i="25"/>
  <c r="J75" i="25"/>
  <c r="I75" i="25" s="1"/>
  <c r="L74" i="25"/>
  <c r="P74" i="25" s="1"/>
  <c r="I74" i="25"/>
  <c r="R73" i="25"/>
  <c r="O73" i="25"/>
  <c r="N73" i="25"/>
  <c r="L73" i="25"/>
  <c r="M73" i="25" s="1"/>
  <c r="U73" i="25" s="1"/>
  <c r="J73" i="25"/>
  <c r="I73" i="25" s="1"/>
  <c r="P72" i="25"/>
  <c r="L72" i="25"/>
  <c r="J72" i="25"/>
  <c r="I72" i="25" s="1"/>
  <c r="R71" i="25"/>
  <c r="S71" i="25" s="1"/>
  <c r="Q71" i="25"/>
  <c r="P71" i="25"/>
  <c r="N71" i="25"/>
  <c r="M71" i="25"/>
  <c r="U71" i="25" s="1"/>
  <c r="L71" i="25"/>
  <c r="O71" i="25" s="1"/>
  <c r="J71" i="25"/>
  <c r="I71" i="25"/>
  <c r="L70" i="25"/>
  <c r="O69" i="25" s="1"/>
  <c r="I70" i="25"/>
  <c r="L69" i="25"/>
  <c r="J69" i="25"/>
  <c r="I69" i="25" s="1"/>
  <c r="L68" i="25"/>
  <c r="P68" i="25" s="1"/>
  <c r="Q67" i="25" s="1"/>
  <c r="J68" i="25"/>
  <c r="I68" i="25" s="1"/>
  <c r="P67" i="25"/>
  <c r="L67" i="25"/>
  <c r="J67" i="25"/>
  <c r="I67" i="25" s="1"/>
  <c r="L66" i="25"/>
  <c r="P66" i="25" s="1"/>
  <c r="J66" i="25"/>
  <c r="I66" i="25" s="1"/>
  <c r="R65" i="25"/>
  <c r="S65" i="25" s="1"/>
  <c r="N65" i="25"/>
  <c r="M65" i="25"/>
  <c r="L65" i="25"/>
  <c r="P65" i="25" s="1"/>
  <c r="J65" i="25"/>
  <c r="I65" i="25"/>
  <c r="P64" i="25"/>
  <c r="L64" i="25"/>
  <c r="J64" i="25"/>
  <c r="I64" i="25"/>
  <c r="M63" i="25"/>
  <c r="L63" i="25"/>
  <c r="O63" i="25" s="1"/>
  <c r="J63" i="25"/>
  <c r="I63" i="25" s="1"/>
  <c r="L62" i="25"/>
  <c r="P62" i="25" s="1"/>
  <c r="J62" i="25"/>
  <c r="I62" i="25" s="1"/>
  <c r="L61" i="25"/>
  <c r="N61" i="25" s="1"/>
  <c r="J61" i="25"/>
  <c r="I61" i="25" s="1"/>
  <c r="L60" i="25"/>
  <c r="M59" i="25" s="1"/>
  <c r="J60" i="25"/>
  <c r="I60" i="25" s="1"/>
  <c r="L59" i="25"/>
  <c r="P59" i="25" s="1"/>
  <c r="J59" i="25"/>
  <c r="I59" i="25" s="1"/>
  <c r="L58" i="25"/>
  <c r="J58" i="25"/>
  <c r="I58" i="25" s="1"/>
  <c r="L57" i="25"/>
  <c r="O57" i="25" s="1"/>
  <c r="J57" i="25"/>
  <c r="I57" i="25"/>
  <c r="L56" i="25"/>
  <c r="P56" i="25" s="1"/>
  <c r="J56" i="25"/>
  <c r="I56" i="25"/>
  <c r="P55" i="25"/>
  <c r="Q55" i="25" s="1"/>
  <c r="M55" i="25"/>
  <c r="U55" i="25" s="1"/>
  <c r="L55" i="25"/>
  <c r="R55" i="25" s="1"/>
  <c r="J55" i="25"/>
  <c r="I55" i="25" s="1"/>
  <c r="L54" i="25"/>
  <c r="P54" i="25" s="1"/>
  <c r="J54" i="25"/>
  <c r="I54" i="25" s="1"/>
  <c r="O53" i="25"/>
  <c r="L53" i="25"/>
  <c r="R53" i="25" s="1"/>
  <c r="J53" i="25"/>
  <c r="I53" i="25" s="1"/>
  <c r="L52" i="25"/>
  <c r="P52" i="25" s="1"/>
  <c r="J52" i="25"/>
  <c r="I52" i="25" s="1"/>
  <c r="L51" i="25"/>
  <c r="P51" i="25" s="1"/>
  <c r="J51" i="25"/>
  <c r="I51" i="25" s="1"/>
  <c r="L50" i="25"/>
  <c r="P50" i="25" s="1"/>
  <c r="J50" i="25"/>
  <c r="I50" i="25" s="1"/>
  <c r="L49" i="25"/>
  <c r="P49" i="25" s="1"/>
  <c r="J49" i="25"/>
  <c r="I49" i="25"/>
  <c r="P48" i="25"/>
  <c r="L48" i="25"/>
  <c r="J48" i="25"/>
  <c r="I48" i="25"/>
  <c r="M47" i="25"/>
  <c r="U47" i="25" s="1"/>
  <c r="L47" i="25"/>
  <c r="O47" i="25" s="1"/>
  <c r="J47" i="25"/>
  <c r="I47" i="25" s="1"/>
  <c r="L46" i="25"/>
  <c r="P46" i="25" s="1"/>
  <c r="J46" i="25"/>
  <c r="I46" i="25" s="1"/>
  <c r="L45" i="25"/>
  <c r="J45" i="25"/>
  <c r="I45" i="25" s="1"/>
  <c r="L44" i="25"/>
  <c r="M43" i="25" s="1"/>
  <c r="J44" i="25"/>
  <c r="I44" i="25" s="1"/>
  <c r="R43" i="25"/>
  <c r="O43" i="25"/>
  <c r="L43" i="25"/>
  <c r="P43" i="25" s="1"/>
  <c r="J43" i="25"/>
  <c r="I43" i="25" s="1"/>
  <c r="P42" i="25"/>
  <c r="L42" i="25"/>
  <c r="J42" i="25"/>
  <c r="I42" i="25" s="1"/>
  <c r="R41" i="25"/>
  <c r="S41" i="25" s="1"/>
  <c r="Q41" i="25"/>
  <c r="P41" i="25"/>
  <c r="N41" i="25"/>
  <c r="M41" i="25"/>
  <c r="L41" i="25"/>
  <c r="O41" i="25" s="1"/>
  <c r="J41" i="25"/>
  <c r="I41" i="25"/>
  <c r="L40" i="25"/>
  <c r="M39" i="25" s="1"/>
  <c r="J40" i="25"/>
  <c r="I40" i="25"/>
  <c r="L39" i="25"/>
  <c r="J39" i="25"/>
  <c r="I39" i="25" s="1"/>
  <c r="L38" i="25"/>
  <c r="O37" i="25" s="1"/>
  <c r="J38" i="25"/>
  <c r="I38" i="25" s="1"/>
  <c r="L37" i="25"/>
  <c r="J37" i="25"/>
  <c r="I37" i="25" s="1"/>
  <c r="L36" i="25"/>
  <c r="P36" i="25" s="1"/>
  <c r="J36" i="25"/>
  <c r="I36" i="25" s="1"/>
  <c r="P35" i="25"/>
  <c r="O35" i="25"/>
  <c r="L35" i="25"/>
  <c r="J35" i="25"/>
  <c r="I35" i="25" s="1"/>
  <c r="L34" i="25"/>
  <c r="P34" i="25" s="1"/>
  <c r="J34" i="25"/>
  <c r="I34" i="25" s="1"/>
  <c r="N33" i="25"/>
  <c r="L33" i="25"/>
  <c r="P33" i="25" s="1"/>
  <c r="J33" i="25"/>
  <c r="I33" i="25"/>
  <c r="L32" i="25"/>
  <c r="P32" i="25" s="1"/>
  <c r="J32" i="25"/>
  <c r="I32" i="25"/>
  <c r="M31" i="25"/>
  <c r="U31" i="25" s="1"/>
  <c r="L31" i="25"/>
  <c r="O31" i="25" s="1"/>
  <c r="J31" i="25"/>
  <c r="I31" i="25" s="1"/>
  <c r="L30" i="25"/>
  <c r="P30" i="25" s="1"/>
  <c r="J30" i="25"/>
  <c r="I30" i="25" s="1"/>
  <c r="L29" i="25"/>
  <c r="N29" i="25" s="1"/>
  <c r="J29" i="25"/>
  <c r="I29" i="25" s="1"/>
  <c r="L28" i="25"/>
  <c r="M27" i="25" s="1"/>
  <c r="J28" i="25"/>
  <c r="I28" i="25" s="1"/>
  <c r="L27" i="25"/>
  <c r="P27" i="25" s="1"/>
  <c r="J27" i="25"/>
  <c r="I27" i="25" s="1"/>
  <c r="L26" i="25"/>
  <c r="P26" i="25" s="1"/>
  <c r="J26" i="25"/>
  <c r="I26" i="25" s="1"/>
  <c r="L25" i="25"/>
  <c r="J25" i="25"/>
  <c r="I25" i="25"/>
  <c r="L24" i="25"/>
  <c r="P24" i="25" s="1"/>
  <c r="J24" i="25"/>
  <c r="I24" i="25"/>
  <c r="M23" i="25"/>
  <c r="U23" i="25" s="1"/>
  <c r="L23" i="25"/>
  <c r="R23" i="25" s="1"/>
  <c r="S23" i="25" s="1"/>
  <c r="J23" i="25"/>
  <c r="I23" i="25" s="1"/>
  <c r="J22" i="25"/>
  <c r="I22" i="25" s="1"/>
  <c r="L22" i="25"/>
  <c r="L21" i="25"/>
  <c r="P21" i="25" s="1"/>
  <c r="J21" i="25"/>
  <c r="I21" i="25" s="1"/>
  <c r="L20" i="25"/>
  <c r="P20" i="25" s="1"/>
  <c r="J20" i="25"/>
  <c r="I20" i="25" s="1"/>
  <c r="O19" i="25"/>
  <c r="L19" i="25"/>
  <c r="R19" i="25" s="1"/>
  <c r="J19" i="25"/>
  <c r="I19" i="25" s="1"/>
  <c r="L18" i="25"/>
  <c r="P18" i="25" s="1"/>
  <c r="J18" i="25"/>
  <c r="I18" i="25" s="1"/>
  <c r="O17" i="25"/>
  <c r="L17" i="25"/>
  <c r="P17" i="25" s="1"/>
  <c r="J17" i="25"/>
  <c r="I17" i="25" s="1"/>
  <c r="J16" i="25"/>
  <c r="I16" i="25" s="1"/>
  <c r="L16" i="25"/>
  <c r="L15" i="25"/>
  <c r="P15" i="25" s="1"/>
  <c r="J15" i="25"/>
  <c r="I15" i="25" s="1"/>
  <c r="J14" i="25"/>
  <c r="I14" i="25" s="1"/>
  <c r="L14" i="25"/>
  <c r="L13" i="25"/>
  <c r="P13" i="25" s="1"/>
  <c r="J13" i="25"/>
  <c r="I13" i="25" s="1"/>
  <c r="L12" i="25"/>
  <c r="R11" i="25" s="1"/>
  <c r="J12" i="25"/>
  <c r="I12" i="25" s="1"/>
  <c r="L11" i="25"/>
  <c r="P11" i="25" s="1"/>
  <c r="J11" i="25"/>
  <c r="I11" i="25"/>
  <c r="L10" i="25"/>
  <c r="P10" i="25" s="1"/>
  <c r="J10" i="25"/>
  <c r="I10" i="25"/>
  <c r="L9" i="25"/>
  <c r="J9" i="25"/>
  <c r="I9" i="25" s="1"/>
  <c r="P8" i="25"/>
  <c r="L8" i="25"/>
  <c r="J8" i="25"/>
  <c r="I8" i="25" s="1"/>
  <c r="L7" i="25"/>
  <c r="N7" i="25" s="1"/>
  <c r="J7" i="25"/>
  <c r="I7" i="25" s="1"/>
  <c r="J6" i="25"/>
  <c r="I6" i="25" s="1"/>
  <c r="O5" i="25"/>
  <c r="P5" i="25"/>
  <c r="J5" i="25"/>
  <c r="I5" i="25" s="1"/>
  <c r="M210" i="36" l="1"/>
  <c r="U210" i="36" s="1"/>
  <c r="Q210" i="36"/>
  <c r="N210" i="36"/>
  <c r="G213" i="36"/>
  <c r="L212" i="36"/>
  <c r="R5" i="25"/>
  <c r="P70" i="25"/>
  <c r="R69" i="25"/>
  <c r="P69" i="25"/>
  <c r="Q69" i="25" s="1"/>
  <c r="Q65" i="25"/>
  <c r="O59" i="25"/>
  <c r="R59" i="25"/>
  <c r="S59" i="25" s="1"/>
  <c r="P58" i="25"/>
  <c r="N57" i="25"/>
  <c r="P57" i="25"/>
  <c r="Q57" i="25" s="1"/>
  <c r="R57" i="25"/>
  <c r="S57" i="25" s="1"/>
  <c r="S55" i="25"/>
  <c r="P53" i="25"/>
  <c r="Q53" i="25" s="1"/>
  <c r="Q51" i="25"/>
  <c r="Q49" i="25"/>
  <c r="M49" i="25"/>
  <c r="U49" i="25" s="1"/>
  <c r="N49" i="25"/>
  <c r="R49" i="25"/>
  <c r="S49" i="25" s="1"/>
  <c r="N45" i="25"/>
  <c r="P40" i="25"/>
  <c r="R39" i="25"/>
  <c r="S39" i="25" s="1"/>
  <c r="P39" i="25"/>
  <c r="Q39" i="25" s="1"/>
  <c r="P38" i="25"/>
  <c r="R37" i="25"/>
  <c r="P37" i="25"/>
  <c r="Q37" i="25" s="1"/>
  <c r="Q35" i="25"/>
  <c r="R33" i="25"/>
  <c r="M33" i="25"/>
  <c r="U33" i="25" s="1"/>
  <c r="Q33" i="25"/>
  <c r="O27" i="25"/>
  <c r="R27" i="25"/>
  <c r="O25" i="25"/>
  <c r="M25" i="25"/>
  <c r="U25" i="25" s="1"/>
  <c r="N25" i="25"/>
  <c r="P25" i="25"/>
  <c r="Q25" i="25" s="1"/>
  <c r="R25" i="25"/>
  <c r="S25" i="25" s="1"/>
  <c r="P23" i="25"/>
  <c r="Q23" i="25" s="1"/>
  <c r="M21" i="25"/>
  <c r="P22" i="25"/>
  <c r="Q21" i="25" s="1"/>
  <c r="R21" i="25"/>
  <c r="S21" i="25" s="1"/>
  <c r="P19" i="25"/>
  <c r="Q19" i="25" s="1"/>
  <c r="P12" i="25"/>
  <c r="M11" i="25"/>
  <c r="N11" i="25"/>
  <c r="O9" i="25"/>
  <c r="M9" i="25"/>
  <c r="S5" i="25"/>
  <c r="P14" i="25"/>
  <c r="Q13" i="25" s="1"/>
  <c r="N13" i="25"/>
  <c r="M13" i="25"/>
  <c r="U13" i="25" s="1"/>
  <c r="O13" i="25"/>
  <c r="R13" i="25"/>
  <c r="U27" i="25"/>
  <c r="S27" i="25"/>
  <c r="P16" i="25"/>
  <c r="Q15" i="25" s="1"/>
  <c r="O15" i="25"/>
  <c r="N15" i="25"/>
  <c r="M15" i="25"/>
  <c r="U15" i="25" s="1"/>
  <c r="R15" i="25"/>
  <c r="S15" i="25" s="1"/>
  <c r="S73" i="25"/>
  <c r="Q17" i="25"/>
  <c r="Q27" i="25"/>
  <c r="S43" i="25"/>
  <c r="N5" i="25"/>
  <c r="O7" i="25"/>
  <c r="P9" i="25"/>
  <c r="R17" i="25"/>
  <c r="S17" i="25" s="1"/>
  <c r="N27" i="25"/>
  <c r="O29" i="25"/>
  <c r="P31" i="25"/>
  <c r="Q31" i="25" s="1"/>
  <c r="R35" i="25"/>
  <c r="N43" i="25"/>
  <c r="O45" i="25"/>
  <c r="P47" i="25"/>
  <c r="Q47" i="25" s="1"/>
  <c r="R51" i="25"/>
  <c r="N59" i="25"/>
  <c r="O61" i="25"/>
  <c r="P63" i="25"/>
  <c r="Q63" i="25" s="1"/>
  <c r="R67" i="25"/>
  <c r="S67" i="25" s="1"/>
  <c r="P7" i="25"/>
  <c r="P29" i="25"/>
  <c r="Q29" i="25" s="1"/>
  <c r="P45" i="25"/>
  <c r="Q45" i="25" s="1"/>
  <c r="P61" i="25"/>
  <c r="Q61" i="25" s="1"/>
  <c r="O51" i="25"/>
  <c r="P6" i="25"/>
  <c r="R9" i="25"/>
  <c r="S9" i="25" s="1"/>
  <c r="M19" i="25"/>
  <c r="N21" i="25"/>
  <c r="N23" i="25"/>
  <c r="P28" i="25"/>
  <c r="R31" i="25"/>
  <c r="S31" i="25" s="1"/>
  <c r="M37" i="25"/>
  <c r="U37" i="25" s="1"/>
  <c r="N39" i="25"/>
  <c r="P44" i="25"/>
  <c r="Q43" i="25" s="1"/>
  <c r="R47" i="25"/>
  <c r="S47" i="25" s="1"/>
  <c r="M53" i="25"/>
  <c r="U53" i="25" s="1"/>
  <c r="N55" i="25"/>
  <c r="P60" i="25"/>
  <c r="Q59" i="25" s="1"/>
  <c r="R63" i="25"/>
  <c r="S63" i="25" s="1"/>
  <c r="M69" i="25"/>
  <c r="U69" i="25" s="1"/>
  <c r="P73" i="25"/>
  <c r="Q73" i="25" s="1"/>
  <c r="O67" i="25"/>
  <c r="R7" i="25"/>
  <c r="M17" i="25"/>
  <c r="N19" i="25"/>
  <c r="O21" i="25"/>
  <c r="O23" i="25"/>
  <c r="R29" i="25"/>
  <c r="M35" i="25"/>
  <c r="U35" i="25" s="1"/>
  <c r="N37" i="25"/>
  <c r="O39" i="25"/>
  <c r="R45" i="25"/>
  <c r="M51" i="25"/>
  <c r="U51" i="25" s="1"/>
  <c r="N53" i="25"/>
  <c r="O55" i="25"/>
  <c r="R61" i="25"/>
  <c r="M67" i="25"/>
  <c r="N69" i="25"/>
  <c r="N17" i="25"/>
  <c r="N35" i="25"/>
  <c r="N51" i="25"/>
  <c r="N67" i="25"/>
  <c r="M7" i="25"/>
  <c r="N9" i="25"/>
  <c r="O11" i="25"/>
  <c r="M29" i="25"/>
  <c r="U29" i="25" s="1"/>
  <c r="N31" i="25"/>
  <c r="O33" i="25"/>
  <c r="M45" i="25"/>
  <c r="U45" i="25" s="1"/>
  <c r="N47" i="25"/>
  <c r="O49" i="25"/>
  <c r="M61" i="25"/>
  <c r="N63" i="25"/>
  <c r="O65" i="25"/>
  <c r="S210" i="36" l="1"/>
  <c r="P212" i="36"/>
  <c r="G214" i="36"/>
  <c r="L213" i="36"/>
  <c r="P213" i="36" s="1"/>
  <c r="S61" i="25"/>
  <c r="S53" i="25"/>
  <c r="S51" i="25"/>
  <c r="S45" i="25"/>
  <c r="S37" i="25"/>
  <c r="S35" i="25"/>
  <c r="S33" i="25"/>
  <c r="S29" i="25"/>
  <c r="S11" i="25"/>
  <c r="S13" i="25"/>
  <c r="S7" i="25"/>
  <c r="S69" i="25"/>
  <c r="S19" i="25"/>
  <c r="V1" i="25"/>
  <c r="M212" i="36" l="1"/>
  <c r="U212" i="36" s="1"/>
  <c r="G215" i="36"/>
  <c r="L214" i="36"/>
  <c r="O212" i="36"/>
  <c r="R212" i="36"/>
  <c r="S212" i="36" s="1"/>
  <c r="N212" i="36"/>
  <c r="Q212" i="36"/>
  <c r="P214" i="36" l="1"/>
  <c r="G216" i="36"/>
  <c r="L215" i="36"/>
  <c r="P215" i="36" s="1"/>
  <c r="G217" i="36" l="1"/>
  <c r="L216" i="36"/>
  <c r="O214" i="36"/>
  <c r="R214" i="36"/>
  <c r="N214" i="36"/>
  <c r="M214" i="36"/>
  <c r="U214" i="36" s="1"/>
  <c r="Q214" i="36"/>
  <c r="S214" i="36" l="1"/>
  <c r="P216" i="36"/>
  <c r="G218" i="36"/>
  <c r="L217" i="36"/>
  <c r="P217" i="36" s="1"/>
  <c r="M216" i="36" l="1"/>
  <c r="U216" i="36" s="1"/>
  <c r="O216" i="36"/>
  <c r="G219" i="36"/>
  <c r="L218" i="36"/>
  <c r="Q216" i="36"/>
  <c r="N216" i="36"/>
  <c r="R216" i="36"/>
  <c r="S216" i="36" l="1"/>
  <c r="G220" i="36"/>
  <c r="L219" i="36"/>
  <c r="P219" i="36" s="1"/>
  <c r="O218" i="36"/>
  <c r="N218" i="36"/>
  <c r="R218" i="36"/>
  <c r="P218" i="36"/>
  <c r="Q218" i="36" s="1"/>
  <c r="M218" i="36"/>
  <c r="U218" i="36" s="1"/>
  <c r="S218" i="36" l="1"/>
  <c r="G221" i="36"/>
  <c r="L220" i="36"/>
  <c r="P220" i="36" l="1"/>
  <c r="G222" i="36"/>
  <c r="L221" i="36"/>
  <c r="P221" i="36" s="1"/>
  <c r="N220" i="36" l="1"/>
  <c r="G223" i="36"/>
  <c r="L222" i="36"/>
  <c r="R220" i="36"/>
  <c r="O220" i="36"/>
  <c r="M220" i="36"/>
  <c r="U220" i="36" s="1"/>
  <c r="Q220" i="36"/>
  <c r="P222" i="36" l="1"/>
  <c r="S220" i="36"/>
  <c r="G224" i="36"/>
  <c r="L223" i="36"/>
  <c r="P223" i="36" s="1"/>
  <c r="G225" i="36" l="1"/>
  <c r="L224" i="36"/>
  <c r="R222" i="36"/>
  <c r="N222" i="36"/>
  <c r="Q222" i="36"/>
  <c r="M222" i="36"/>
  <c r="U222" i="36" s="1"/>
  <c r="O222" i="36"/>
  <c r="P224" i="36" l="1"/>
  <c r="S222" i="36"/>
  <c r="G226" i="36"/>
  <c r="L225" i="36"/>
  <c r="O224" i="36" s="1"/>
  <c r="G227" i="36" l="1"/>
  <c r="L226" i="36"/>
  <c r="N224" i="36"/>
  <c r="P225" i="36"/>
  <c r="Q224" i="36" s="1"/>
  <c r="R224" i="36"/>
  <c r="M224" i="36"/>
  <c r="U224" i="36" s="1"/>
  <c r="P226" i="36" l="1"/>
  <c r="S224" i="36"/>
  <c r="G228" i="36"/>
  <c r="L227" i="36"/>
  <c r="P227" i="36" s="1"/>
  <c r="G229" i="36" l="1"/>
  <c r="L228" i="36"/>
  <c r="R226" i="36"/>
  <c r="O226" i="36"/>
  <c r="M226" i="36"/>
  <c r="U226" i="36" s="1"/>
  <c r="N226" i="36"/>
  <c r="Q226" i="36"/>
  <c r="P228" i="36" l="1"/>
  <c r="S226" i="36"/>
  <c r="G230" i="36"/>
  <c r="L229" i="36"/>
  <c r="P229" i="36" s="1"/>
  <c r="G231" i="36" l="1"/>
  <c r="L230" i="36"/>
  <c r="M228" i="36"/>
  <c r="U228" i="36" s="1"/>
  <c r="O228" i="36"/>
  <c r="R228" i="36"/>
  <c r="S228" i="36" s="1"/>
  <c r="N228" i="36"/>
  <c r="Q228" i="36"/>
  <c r="P230" i="36" l="1"/>
  <c r="G232" i="36"/>
  <c r="L231" i="36"/>
  <c r="P231" i="36" s="1"/>
  <c r="G233" i="36" l="1"/>
  <c r="L232" i="36"/>
  <c r="N230" i="36"/>
  <c r="O230" i="36"/>
  <c r="M230" i="36"/>
  <c r="U230" i="36" s="1"/>
  <c r="Q230" i="36"/>
  <c r="R230" i="36"/>
  <c r="S230" i="36" l="1"/>
  <c r="P232" i="36"/>
  <c r="G234" i="36"/>
  <c r="L233" i="36"/>
  <c r="P233" i="36" s="1"/>
  <c r="G235" i="36" l="1"/>
  <c r="L234" i="36"/>
  <c r="N232" i="36"/>
  <c r="R232" i="36"/>
  <c r="O232" i="36"/>
  <c r="M232" i="36"/>
  <c r="U232" i="36" s="1"/>
  <c r="Q232" i="36"/>
  <c r="S232" i="36" l="1"/>
  <c r="P234" i="36"/>
  <c r="G236" i="36"/>
  <c r="L235" i="36"/>
  <c r="P235" i="36" s="1"/>
  <c r="M234" i="36" l="1"/>
  <c r="U234" i="36" s="1"/>
  <c r="G237" i="36"/>
  <c r="L236" i="36"/>
  <c r="R234" i="36"/>
  <c r="S234" i="36" s="1"/>
  <c r="Q234" i="36"/>
  <c r="N234" i="36"/>
  <c r="O234" i="36"/>
  <c r="P236" i="36" l="1"/>
  <c r="G238" i="36"/>
  <c r="L237" i="36"/>
  <c r="P237" i="36" s="1"/>
  <c r="G239" i="36" l="1"/>
  <c r="L238" i="36"/>
  <c r="R236" i="36"/>
  <c r="M236" i="36"/>
  <c r="U236" i="36" s="1"/>
  <c r="Q236" i="36"/>
  <c r="O236" i="36"/>
  <c r="N236" i="36"/>
  <c r="P238" i="36" l="1"/>
  <c r="S236" i="36"/>
  <c r="G240" i="36"/>
  <c r="L239" i="36"/>
  <c r="P239" i="36" s="1"/>
  <c r="G241" i="36" l="1"/>
  <c r="L240" i="36"/>
  <c r="Q238" i="36"/>
  <c r="M238" i="36"/>
  <c r="U238" i="36" s="1"/>
  <c r="O238" i="36"/>
  <c r="R238" i="36"/>
  <c r="S238" i="36" s="1"/>
  <c r="N238" i="36"/>
  <c r="P240" i="36" l="1"/>
  <c r="G242" i="36"/>
  <c r="L241" i="36"/>
  <c r="N240" i="36" s="1"/>
  <c r="O240" i="36" l="1"/>
  <c r="M240" i="36"/>
  <c r="U240" i="36" s="1"/>
  <c r="P241" i="36"/>
  <c r="Q240" i="36" s="1"/>
  <c r="G243" i="36"/>
  <c r="L242" i="36"/>
  <c r="R240" i="36"/>
  <c r="S240" i="36" s="1"/>
  <c r="G244" i="36" l="1"/>
  <c r="L243" i="36"/>
  <c r="P243" i="36" s="1"/>
  <c r="P242" i="36"/>
  <c r="N242" i="36"/>
  <c r="M242" i="36"/>
  <c r="U242" i="36" s="1"/>
  <c r="O242" i="36" l="1"/>
  <c r="Q242" i="36"/>
  <c r="R242" i="36"/>
  <c r="S242" i="36" s="1"/>
  <c r="G245" i="36"/>
  <c r="L244" i="36"/>
  <c r="P244" i="36" l="1"/>
  <c r="G246" i="36"/>
  <c r="L245" i="36"/>
  <c r="P245" i="36" s="1"/>
  <c r="G247" i="36" l="1"/>
  <c r="L246" i="36"/>
  <c r="O244" i="36"/>
  <c r="M244" i="36"/>
  <c r="U244" i="36" s="1"/>
  <c r="N244" i="36"/>
  <c r="Q244" i="36"/>
  <c r="R244" i="36"/>
  <c r="S244" i="36" s="1"/>
  <c r="P246" i="36" l="1"/>
  <c r="G248" i="36"/>
  <c r="L247" i="36"/>
  <c r="P247" i="36" s="1"/>
  <c r="Q246" i="36" l="1"/>
  <c r="O246" i="36"/>
  <c r="G249" i="36"/>
  <c r="L248" i="36"/>
  <c r="M246" i="36"/>
  <c r="U246" i="36" s="1"/>
  <c r="N246" i="36"/>
  <c r="R246" i="36"/>
  <c r="S246" i="36" s="1"/>
  <c r="P248" i="36" l="1"/>
  <c r="G250" i="36"/>
  <c r="L249" i="36"/>
  <c r="P249" i="36" s="1"/>
  <c r="G251" i="36" l="1"/>
  <c r="L250" i="36"/>
  <c r="Q248" i="36"/>
  <c r="O248" i="36"/>
  <c r="N248" i="36"/>
  <c r="R248" i="36"/>
  <c r="M248" i="36"/>
  <c r="U248" i="36" s="1"/>
  <c r="P250" i="36" l="1"/>
  <c r="S248" i="36"/>
  <c r="G252" i="36"/>
  <c r="L251" i="36"/>
  <c r="P251" i="36" s="1"/>
  <c r="G253" i="36" l="1"/>
  <c r="L252" i="36"/>
  <c r="R250" i="36"/>
  <c r="Q250" i="36"/>
  <c r="M250" i="36"/>
  <c r="U250" i="36" s="1"/>
  <c r="O250" i="36"/>
  <c r="N250" i="36"/>
  <c r="P252" i="36" l="1"/>
  <c r="S250" i="36"/>
  <c r="G254" i="36"/>
  <c r="L253" i="36"/>
  <c r="P253" i="36" s="1"/>
  <c r="G255" i="36" l="1"/>
  <c r="L254" i="36"/>
  <c r="Q252" i="36"/>
  <c r="N252" i="36"/>
  <c r="M252" i="36"/>
  <c r="U252" i="36" s="1"/>
  <c r="V1" i="36" s="1"/>
  <c r="R252" i="36"/>
  <c r="S252" i="36" s="1"/>
  <c r="O252" i="36"/>
  <c r="P254" i="36" l="1"/>
  <c r="G256" i="36"/>
  <c r="L255" i="36"/>
  <c r="P255" i="36" s="1"/>
  <c r="G257" i="36" l="1"/>
  <c r="L256" i="36"/>
  <c r="O254" i="36"/>
  <c r="M254" i="36"/>
  <c r="U254" i="36" s="1"/>
  <c r="Q254" i="36"/>
  <c r="R254" i="36"/>
  <c r="N254" i="36"/>
  <c r="S254" i="36" l="1"/>
  <c r="P256" i="36"/>
  <c r="G258" i="36"/>
  <c r="L257" i="36"/>
  <c r="P257" i="36" s="1"/>
  <c r="G259" i="36" l="1"/>
  <c r="L258" i="36"/>
  <c r="N256" i="36"/>
  <c r="R256" i="36"/>
  <c r="M256" i="36"/>
  <c r="U256" i="36" s="1"/>
  <c r="Q256" i="36"/>
  <c r="O256" i="36"/>
  <c r="S256" i="36" l="1"/>
  <c r="P258" i="36"/>
  <c r="G260" i="36"/>
  <c r="L259" i="36"/>
  <c r="P259" i="36" s="1"/>
  <c r="Q258" i="36" s="1"/>
  <c r="N258" i="36" l="1"/>
  <c r="G261" i="36"/>
  <c r="L260" i="36"/>
  <c r="M258" i="36"/>
  <c r="U258" i="36" s="1"/>
  <c r="O258" i="36"/>
  <c r="R258" i="36"/>
  <c r="S258" i="36" s="1"/>
  <c r="P260" i="36" l="1"/>
  <c r="G262" i="36"/>
  <c r="L261" i="36"/>
  <c r="P261" i="36" s="1"/>
  <c r="G263" i="36" l="1"/>
  <c r="L262" i="36"/>
  <c r="Q260" i="36"/>
  <c r="M260" i="36"/>
  <c r="U260" i="36" s="1"/>
  <c r="N260" i="36"/>
  <c r="O260" i="36"/>
  <c r="R260" i="36"/>
  <c r="S260" i="36" s="1"/>
  <c r="P262" i="36" l="1"/>
  <c r="G264" i="36"/>
  <c r="L263" i="36"/>
  <c r="P263" i="36" s="1"/>
  <c r="M262" i="36" l="1"/>
  <c r="U262" i="36" s="1"/>
  <c r="Q262" i="36"/>
  <c r="G265" i="36"/>
  <c r="L264" i="36"/>
  <c r="N262" i="36"/>
  <c r="O262" i="36"/>
  <c r="R262" i="36"/>
  <c r="S262" i="36" s="1"/>
  <c r="P264" i="36" l="1"/>
  <c r="G266" i="36"/>
  <c r="L265" i="36"/>
  <c r="P265" i="36" s="1"/>
  <c r="R264" i="36" l="1"/>
  <c r="M264" i="36"/>
  <c r="U264" i="36" s="1"/>
  <c r="O264" i="36"/>
  <c r="G267" i="36"/>
  <c r="L266" i="36"/>
  <c r="N264" i="36"/>
  <c r="Q264" i="36"/>
  <c r="P266" i="36" l="1"/>
  <c r="G268" i="36"/>
  <c r="L267" i="36"/>
  <c r="P267" i="36" s="1"/>
  <c r="S264" i="36"/>
  <c r="G269" i="36" l="1"/>
  <c r="L268" i="36"/>
  <c r="O266" i="36"/>
  <c r="M266" i="36"/>
  <c r="U266" i="36" s="1"/>
  <c r="R266" i="36"/>
  <c r="N266" i="36"/>
  <c r="Q266" i="36"/>
  <c r="S266" i="36" l="1"/>
  <c r="P268" i="36"/>
  <c r="G270" i="36"/>
  <c r="L269" i="36"/>
  <c r="P269" i="36" s="1"/>
  <c r="G271" i="36" l="1"/>
  <c r="L270" i="36"/>
  <c r="R268" i="36"/>
  <c r="N268" i="36"/>
  <c r="Q268" i="36"/>
  <c r="O268" i="36"/>
  <c r="M268" i="36"/>
  <c r="U268" i="36" s="1"/>
  <c r="P270" i="36" l="1"/>
  <c r="S268" i="36"/>
  <c r="G272" i="36"/>
  <c r="L271" i="36"/>
  <c r="P271" i="36" s="1"/>
  <c r="G273" i="36" l="1"/>
  <c r="L272" i="36"/>
  <c r="N270" i="36"/>
  <c r="M270" i="36"/>
  <c r="U270" i="36" s="1"/>
  <c r="R270" i="36"/>
  <c r="O270" i="36"/>
  <c r="Q270" i="36"/>
  <c r="S270" i="36" l="1"/>
  <c r="P272" i="36"/>
  <c r="G274" i="36"/>
  <c r="L273" i="36"/>
  <c r="P273" i="36" s="1"/>
  <c r="R272" i="36" l="1"/>
  <c r="O272" i="36"/>
  <c r="N272" i="36"/>
  <c r="G275" i="36"/>
  <c r="L274" i="36"/>
  <c r="M272" i="36"/>
  <c r="U272" i="36" s="1"/>
  <c r="Q272" i="36"/>
  <c r="G276" i="36" l="1"/>
  <c r="L275" i="36"/>
  <c r="P274" i="36"/>
  <c r="M274" i="36"/>
  <c r="U274" i="36" s="1"/>
  <c r="N274" i="36"/>
  <c r="O274" i="36"/>
  <c r="S272" i="36"/>
  <c r="R274" i="36" l="1"/>
  <c r="S274" i="36" s="1"/>
  <c r="P275" i="36"/>
  <c r="Q274" i="36" s="1"/>
  <c r="G277" i="36"/>
  <c r="L276" i="36"/>
  <c r="P276" i="36" l="1"/>
  <c r="G278" i="36"/>
  <c r="L277" i="36"/>
  <c r="P277" i="36" s="1"/>
  <c r="G279" i="36" l="1"/>
  <c r="L278" i="36"/>
  <c r="N276" i="36"/>
  <c r="O276" i="36"/>
  <c r="Q276" i="36"/>
  <c r="R276" i="36"/>
  <c r="M276" i="36"/>
  <c r="U276" i="36" s="1"/>
  <c r="S276" i="36" l="1"/>
  <c r="P278" i="36"/>
  <c r="G280" i="36"/>
  <c r="L279" i="36"/>
  <c r="P279" i="36" s="1"/>
  <c r="N278" i="36" l="1"/>
  <c r="R278" i="36"/>
  <c r="M278" i="36"/>
  <c r="U278" i="36" s="1"/>
  <c r="G281" i="36"/>
  <c r="L280" i="36"/>
  <c r="O278" i="36"/>
  <c r="Q278" i="36"/>
  <c r="S278" i="36" l="1"/>
  <c r="P280" i="36"/>
  <c r="G282" i="36"/>
  <c r="L281" i="36"/>
  <c r="P281" i="36" s="1"/>
  <c r="G283" i="36" l="1"/>
  <c r="L282" i="36"/>
  <c r="Q280" i="36"/>
  <c r="R280" i="36"/>
  <c r="N280" i="36"/>
  <c r="O280" i="36"/>
  <c r="M280" i="36"/>
  <c r="U280" i="36" s="1"/>
  <c r="S280" i="36" l="1"/>
  <c r="P282" i="36"/>
  <c r="G284" i="36"/>
  <c r="L283" i="36"/>
  <c r="P283" i="36" s="1"/>
  <c r="Q282" i="36" s="1"/>
  <c r="G285" i="36" l="1"/>
  <c r="L284" i="36"/>
  <c r="M282" i="36"/>
  <c r="U282" i="36" s="1"/>
  <c r="O282" i="36"/>
  <c r="R282" i="36"/>
  <c r="S282" i="36" s="1"/>
  <c r="N282" i="36"/>
  <c r="P284" i="36" l="1"/>
  <c r="G286" i="36"/>
  <c r="L285" i="36"/>
  <c r="P285" i="36" s="1"/>
  <c r="Q284" i="36" l="1"/>
  <c r="M284" i="36"/>
  <c r="U284" i="36" s="1"/>
  <c r="G287" i="36"/>
  <c r="L286" i="36"/>
  <c r="O284" i="36"/>
  <c r="R284" i="36"/>
  <c r="S284" i="36" s="1"/>
  <c r="N284" i="36"/>
  <c r="P286" i="36" l="1"/>
  <c r="G288" i="36"/>
  <c r="L287" i="36"/>
  <c r="P287" i="36" s="1"/>
  <c r="G289" i="36" l="1"/>
  <c r="L288" i="36"/>
  <c r="R286" i="36"/>
  <c r="O286" i="36"/>
  <c r="N286" i="36"/>
  <c r="M286" i="36"/>
  <c r="U286" i="36" s="1"/>
  <c r="Q286" i="36"/>
  <c r="P288" i="36" l="1"/>
  <c r="S286" i="36"/>
  <c r="G290" i="36"/>
  <c r="L289" i="36"/>
  <c r="P289" i="36" s="1"/>
  <c r="O288" i="36" l="1"/>
  <c r="M288" i="36"/>
  <c r="U288" i="36" s="1"/>
  <c r="R288" i="36"/>
  <c r="G291" i="36"/>
  <c r="L290" i="36"/>
  <c r="N288" i="36"/>
  <c r="Q288" i="36"/>
  <c r="S288" i="36" l="1"/>
  <c r="P290" i="36"/>
  <c r="G292" i="36"/>
  <c r="L291" i="36"/>
  <c r="P291" i="36" s="1"/>
  <c r="G293" i="36" l="1"/>
  <c r="L292" i="36"/>
  <c r="O290" i="36"/>
  <c r="R290" i="36"/>
  <c r="N290" i="36"/>
  <c r="Q290" i="36"/>
  <c r="M290" i="36"/>
  <c r="U290" i="36" s="1"/>
  <c r="S290" i="36" l="1"/>
  <c r="P292" i="36"/>
  <c r="G294" i="36"/>
  <c r="L293" i="36"/>
  <c r="P293" i="36" s="1"/>
  <c r="G295" i="36" l="1"/>
  <c r="L294" i="36"/>
  <c r="R292" i="36"/>
  <c r="M292" i="36"/>
  <c r="U292" i="36" s="1"/>
  <c r="O292" i="36"/>
  <c r="Q292" i="36"/>
  <c r="N292" i="36"/>
  <c r="S292" i="36" l="1"/>
  <c r="P294" i="36"/>
  <c r="G296" i="36"/>
  <c r="L295" i="36"/>
  <c r="P295" i="36" s="1"/>
  <c r="G297" i="36" l="1"/>
  <c r="L296" i="36"/>
  <c r="Q294" i="36"/>
  <c r="O294" i="36"/>
  <c r="M294" i="36"/>
  <c r="U294" i="36" s="1"/>
  <c r="N294" i="36"/>
  <c r="R294" i="36"/>
  <c r="S294" i="36" s="1"/>
  <c r="P296" i="36" l="1"/>
  <c r="G298" i="36"/>
  <c r="L297" i="36"/>
  <c r="P297" i="36" s="1"/>
  <c r="G299" i="36" l="1"/>
  <c r="L298" i="36"/>
  <c r="N296" i="36"/>
  <c r="R296" i="36"/>
  <c r="O296" i="36"/>
  <c r="Q296" i="36"/>
  <c r="M296" i="36"/>
  <c r="U296" i="36" s="1"/>
  <c r="S296" i="36" l="1"/>
  <c r="P298" i="36"/>
  <c r="G300" i="36"/>
  <c r="L299" i="36"/>
  <c r="N298" i="36" l="1"/>
  <c r="P299" i="36"/>
  <c r="Q298" i="36" s="1"/>
  <c r="G301" i="36"/>
  <c r="L300" i="36"/>
  <c r="O298" i="36"/>
  <c r="R298" i="36"/>
  <c r="M298" i="36"/>
  <c r="U298" i="36" s="1"/>
  <c r="P300" i="36" l="1"/>
  <c r="S298" i="36"/>
  <c r="G302" i="36"/>
  <c r="L301" i="36"/>
  <c r="P301" i="36" s="1"/>
  <c r="N300" i="36" l="1"/>
  <c r="Q300" i="36"/>
  <c r="G303" i="36"/>
  <c r="L302" i="36"/>
  <c r="R300" i="36"/>
  <c r="M300" i="36"/>
  <c r="U300" i="36" s="1"/>
  <c r="O300" i="36"/>
  <c r="S300" i="36" l="1"/>
  <c r="P302" i="36"/>
  <c r="G304" i="36"/>
  <c r="L303" i="36"/>
  <c r="P303" i="36" s="1"/>
  <c r="G305" i="36" l="1"/>
  <c r="L304" i="36"/>
  <c r="M302" i="36"/>
  <c r="U302" i="36" s="1"/>
  <c r="O302" i="36"/>
  <c r="Q302" i="36"/>
  <c r="N302" i="36"/>
  <c r="R302" i="36"/>
  <c r="S302" i="36" s="1"/>
  <c r="P304" i="36" l="1"/>
  <c r="G306" i="36"/>
  <c r="L305" i="36"/>
  <c r="P305" i="36" s="1"/>
  <c r="R304" i="36" l="1"/>
  <c r="M304" i="36"/>
  <c r="U304" i="36" s="1"/>
  <c r="N304" i="36"/>
  <c r="G307" i="36"/>
  <c r="L306" i="36"/>
  <c r="O304" i="36"/>
  <c r="Q304" i="36"/>
  <c r="P306" i="36" l="1"/>
  <c r="G308" i="36"/>
  <c r="L307" i="36"/>
  <c r="P307" i="36" s="1"/>
  <c r="S304" i="36"/>
  <c r="G309" i="36" l="1"/>
  <c r="L308" i="36"/>
  <c r="R306" i="36"/>
  <c r="N306" i="36"/>
  <c r="O306" i="36"/>
  <c r="M306" i="36"/>
  <c r="U306" i="36" s="1"/>
  <c r="Q306" i="36"/>
  <c r="S306" i="36" l="1"/>
  <c r="P308" i="36"/>
  <c r="G310" i="36"/>
  <c r="L309" i="36"/>
  <c r="P309" i="36" s="1"/>
  <c r="N308" i="36" l="1"/>
  <c r="Q308" i="36"/>
  <c r="G311" i="36"/>
  <c r="L311" i="36" s="1"/>
  <c r="P311" i="36" s="1"/>
  <c r="L310" i="36"/>
  <c r="O308" i="36"/>
  <c r="R308" i="36"/>
  <c r="M308" i="36"/>
  <c r="U308" i="36" s="1"/>
  <c r="O310" i="36" l="1"/>
  <c r="N310" i="36"/>
  <c r="M310" i="36"/>
  <c r="U310" i="36" s="1"/>
  <c r="R310" i="36"/>
  <c r="P310" i="36"/>
  <c r="Q310" i="36" s="1"/>
  <c r="S308" i="36"/>
  <c r="S310" i="3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956F338A-464D-4588-9292-B2BD816285D1}">
      <text>
        <r>
          <rPr>
            <b/>
            <sz val="9"/>
            <color indexed="81"/>
            <rFont val="Tahoma"/>
            <family val="2"/>
          </rPr>
          <t>Nikkel:</t>
        </r>
        <r>
          <rPr>
            <sz val="9"/>
            <color indexed="81"/>
            <rFont val="Tahoma"/>
            <family val="2"/>
          </rPr>
          <t xml:space="preserve">
Buscarlo en la hoja Adjunta</t>
        </r>
      </text>
    </comment>
    <comment ref="E3" authorId="1" shapeId="0" xr:uid="{B5808855-CF3E-46BC-B46A-33F0F88FB34D}">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F3" authorId="1" shapeId="0" xr:uid="{9163D161-1AAE-49F6-A475-77E7DF4A61C4}">
      <text>
        <r>
          <rPr>
            <sz val="9"/>
            <color indexed="81"/>
            <rFont val="Tahoma"/>
            <family val="2"/>
          </rPr>
          <t>Escoger de la lista y si no lo encuentra , completarlo  de forma manual</t>
        </r>
      </text>
    </comment>
    <comment ref="J3" authorId="0" shapeId="0" xr:uid="{B42F0463-F812-4A25-9C24-BE206664C9A7}">
      <text>
        <r>
          <rPr>
            <b/>
            <sz val="9"/>
            <color indexed="81"/>
            <rFont val="Tahoma"/>
            <family val="2"/>
          </rPr>
          <t>Nikkel:</t>
        </r>
        <r>
          <rPr>
            <sz val="9"/>
            <color indexed="81"/>
            <rFont val="Tahoma"/>
            <family val="2"/>
          </rPr>
          <t xml:space="preserve">
Este valor se calcula directamente, pero si es diferente de 19%, Anotar el valor directo, sin el formato %, es decir  formato general
</t>
        </r>
      </text>
    </comment>
    <comment ref="N3" authorId="1" shapeId="0" xr:uid="{6024AE9F-9024-496E-B10E-88934C450389}">
      <text>
        <r>
          <rPr>
            <b/>
            <sz val="9"/>
            <color indexed="81"/>
            <rFont val="Tahoma"/>
            <family val="2"/>
          </rPr>
          <t>Elkin Antonio Zuleta Montoya:</t>
        </r>
        <r>
          <rPr>
            <sz val="9"/>
            <color indexed="81"/>
            <rFont val="Tahoma"/>
            <family val="2"/>
          </rPr>
          <t xml:space="preserve">
Este valor es estadistico, tambien se calcula, solo si tiene los tres valores o debe borrar los valores cero de Valor Total con IVA
</t>
        </r>
      </text>
    </comment>
    <comment ref="Q3" authorId="1" shapeId="0" xr:uid="{D014DEAD-2878-429F-809F-F174DFE8DC52}">
      <text>
        <r>
          <rPr>
            <b/>
            <sz val="9"/>
            <color indexed="81"/>
            <rFont val="Tahoma"/>
            <family val="2"/>
          </rPr>
          <t>Elkin Antonio Zuleta Montoya:</t>
        </r>
        <r>
          <rPr>
            <sz val="9"/>
            <color indexed="81"/>
            <rFont val="Tahoma"/>
            <family val="2"/>
          </rPr>
          <t xml:space="preserve">
Este valor se calcula estadisticamente, es decir, en todas las celdas, debe haber valores diferentes de cero, de lo contrario  se toma el valor cero, como un valor de número de datos y por ello, el calculo es extraño.
Si solo posee dos datos y el tercero es un CERO  lo debe borrar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E819CD43-9F1D-4D5E-AA59-0F26D7F1931D}">
      <text>
        <r>
          <rPr>
            <b/>
            <sz val="9"/>
            <color indexed="81"/>
            <rFont val="Tahoma"/>
            <family val="2"/>
          </rPr>
          <t>Nikkel:</t>
        </r>
        <r>
          <rPr>
            <sz val="9"/>
            <color indexed="81"/>
            <rFont val="Tahoma"/>
            <family val="2"/>
          </rPr>
          <t xml:space="preserve">
Buscarlo en la hoja Adjunta</t>
        </r>
      </text>
    </comment>
    <comment ref="E3" authorId="1" shapeId="0" xr:uid="{549EC08B-A141-4562-9C51-C5EB314F1990}">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F3" authorId="1" shapeId="0" xr:uid="{0D038946-0040-4B2E-B213-1ADB5A0E75EB}">
      <text>
        <r>
          <rPr>
            <sz val="9"/>
            <color indexed="81"/>
            <rFont val="Tahoma"/>
            <family val="2"/>
          </rPr>
          <t>Escoger de la lista y si no lo encuentra , completarlo  de forma manual</t>
        </r>
      </text>
    </comment>
    <comment ref="J3" authorId="0" shapeId="0" xr:uid="{2A58BAED-0D5A-4414-8007-A5A3BC1738D7}">
      <text>
        <r>
          <rPr>
            <b/>
            <sz val="9"/>
            <color indexed="81"/>
            <rFont val="Tahoma"/>
            <family val="2"/>
          </rPr>
          <t>Nikkel:</t>
        </r>
        <r>
          <rPr>
            <sz val="9"/>
            <color indexed="81"/>
            <rFont val="Tahoma"/>
            <family val="2"/>
          </rPr>
          <t xml:space="preserve">
Este valor se calcula directamente, pero si es diferente de 19%, Anotar el valor directo, sin el formato %, es decir  formato general
</t>
        </r>
      </text>
    </comment>
    <comment ref="N3" authorId="1" shapeId="0" xr:uid="{4F27B86A-B32C-48BA-BF4B-2FB60971B871}">
      <text>
        <r>
          <rPr>
            <b/>
            <sz val="9"/>
            <color indexed="81"/>
            <rFont val="Tahoma"/>
            <family val="2"/>
          </rPr>
          <t>Elkin Antonio Zuleta Montoya:</t>
        </r>
        <r>
          <rPr>
            <sz val="9"/>
            <color indexed="81"/>
            <rFont val="Tahoma"/>
            <family val="2"/>
          </rPr>
          <t xml:space="preserve">
Este valor es estadistico, tambien se calcula, solo si tiene los tres valores o debe borrar los valores cero de Valor Total con IVA
</t>
        </r>
      </text>
    </comment>
    <comment ref="Q3" authorId="1" shapeId="0" xr:uid="{4BDC9555-6985-4264-96AB-B92A7FAD8654}">
      <text>
        <r>
          <rPr>
            <b/>
            <sz val="9"/>
            <color indexed="81"/>
            <rFont val="Tahoma"/>
            <family val="2"/>
          </rPr>
          <t>Elkin Antonio Zuleta Montoya:</t>
        </r>
        <r>
          <rPr>
            <sz val="9"/>
            <color indexed="81"/>
            <rFont val="Tahoma"/>
            <family val="2"/>
          </rPr>
          <t xml:space="preserve">
Este valor se calcula estadisticamente, es decir, en todas las celdas, debe haber valores diferentes de cero, de lo contrario  se toma el valor cero, como un valor de número de datos y por ello, el calculo es extraño.
Si solo posee dos datos y el tercero es un CERO  lo debe borrar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446372EA-FF0E-43E5-ABF6-D00E3D0432DC}">
      <text>
        <r>
          <rPr>
            <b/>
            <sz val="9"/>
            <color indexed="81"/>
            <rFont val="Tahoma"/>
            <family val="2"/>
          </rPr>
          <t>Nikkel:</t>
        </r>
        <r>
          <rPr>
            <sz val="9"/>
            <color indexed="81"/>
            <rFont val="Tahoma"/>
            <family val="2"/>
          </rPr>
          <t xml:space="preserve">
Buscarlo en la hoja Adjunta</t>
        </r>
      </text>
    </comment>
    <comment ref="E3" authorId="1" shapeId="0" xr:uid="{59F7B55E-97AA-4DBA-9AC3-C869377384CC}">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F3" authorId="1" shapeId="0" xr:uid="{82DECA1D-1464-4626-AC54-200010E7DF7C}">
      <text>
        <r>
          <rPr>
            <sz val="9"/>
            <color indexed="81"/>
            <rFont val="Tahoma"/>
            <family val="2"/>
          </rPr>
          <t>Escoger de la lista y si no lo encuentra , completarlo  de forma manual</t>
        </r>
      </text>
    </comment>
    <comment ref="J3" authorId="0" shapeId="0" xr:uid="{9056B51A-33E9-4845-A964-C770C9DAB29A}">
      <text>
        <r>
          <rPr>
            <b/>
            <sz val="9"/>
            <color indexed="81"/>
            <rFont val="Tahoma"/>
            <family val="2"/>
          </rPr>
          <t>Nikkel:</t>
        </r>
        <r>
          <rPr>
            <sz val="9"/>
            <color indexed="81"/>
            <rFont val="Tahoma"/>
            <family val="2"/>
          </rPr>
          <t xml:space="preserve">
Este valor se calcula directamente, pero si es diferente de 19%, Anotar el valor directo, sin el formato %, es decir  formato general
</t>
        </r>
      </text>
    </comment>
    <comment ref="N3" authorId="1" shapeId="0" xr:uid="{03B44ECB-5949-42B6-B98C-977BA74DD7ED}">
      <text>
        <r>
          <rPr>
            <b/>
            <sz val="9"/>
            <color indexed="81"/>
            <rFont val="Tahoma"/>
            <family val="2"/>
          </rPr>
          <t>Elkin Antonio Zuleta Montoya:</t>
        </r>
        <r>
          <rPr>
            <sz val="9"/>
            <color indexed="81"/>
            <rFont val="Tahoma"/>
            <family val="2"/>
          </rPr>
          <t xml:space="preserve">
Este valor es estadistico, tambien se calcula, solo si tiene los tres valores o debe borrar los valores cero de Valor Total con IVA
</t>
        </r>
      </text>
    </comment>
    <comment ref="Q3" authorId="1" shapeId="0" xr:uid="{538183E6-FDBF-4736-A770-200D133B566B}">
      <text>
        <r>
          <rPr>
            <b/>
            <sz val="9"/>
            <color indexed="81"/>
            <rFont val="Tahoma"/>
            <family val="2"/>
          </rPr>
          <t>Elkin Antonio Zuleta Montoya:</t>
        </r>
        <r>
          <rPr>
            <sz val="9"/>
            <color indexed="81"/>
            <rFont val="Tahoma"/>
            <family val="2"/>
          </rPr>
          <t xml:space="preserve">
Este valor se calcula estadisticamente, es decir, en todas las celdas, debe haber valores diferentes de cero, de lo contrario  se toma el valor cero, como un valor de número de datos y por ello, el calculo es extraño.
Si solo posee dos datos y el tercero es un CERO  lo debe borrar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07DA4783-8577-4C34-B78A-33B8597586A0}">
      <text>
        <r>
          <rPr>
            <b/>
            <sz val="9"/>
            <color indexed="81"/>
            <rFont val="Tahoma"/>
            <family val="2"/>
          </rPr>
          <t>Nikkel:</t>
        </r>
        <r>
          <rPr>
            <sz val="9"/>
            <color indexed="81"/>
            <rFont val="Tahoma"/>
            <family val="2"/>
          </rPr>
          <t xml:space="preserve">
Buscarlo en la hoja Adjunta</t>
        </r>
      </text>
    </comment>
    <comment ref="E3" authorId="1" shapeId="0" xr:uid="{8BA647A1-1400-4381-A5F1-AB179A524FA1}">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F3" authorId="1" shapeId="0" xr:uid="{83908FF2-8F58-4625-86A2-0AEEAC0C0A5F}">
      <text>
        <r>
          <rPr>
            <sz val="9"/>
            <color indexed="81"/>
            <rFont val="Tahoma"/>
            <family val="2"/>
          </rPr>
          <t>Escoger de la lista y si no lo encuentra , completarlo  de forma manual</t>
        </r>
      </text>
    </comment>
    <comment ref="J3" authorId="0" shapeId="0" xr:uid="{F0858528-97D6-4D61-8ACB-8C168D89EF6A}">
      <text>
        <r>
          <rPr>
            <b/>
            <sz val="9"/>
            <color indexed="81"/>
            <rFont val="Tahoma"/>
            <family val="2"/>
          </rPr>
          <t>Nikkel:</t>
        </r>
        <r>
          <rPr>
            <sz val="9"/>
            <color indexed="81"/>
            <rFont val="Tahoma"/>
            <family val="2"/>
          </rPr>
          <t xml:space="preserve">
Este valor se calcula directamente, pero si es diferente de 19%, Anotar el valor directo, sin el formato %, es decir  formato general
</t>
        </r>
      </text>
    </comment>
    <comment ref="N3" authorId="1" shapeId="0" xr:uid="{8B53E80B-E5C8-477D-A827-E4770896D81B}">
      <text>
        <r>
          <rPr>
            <b/>
            <sz val="9"/>
            <color indexed="81"/>
            <rFont val="Tahoma"/>
            <family val="2"/>
          </rPr>
          <t>Elkin Antonio Zuleta Montoya:</t>
        </r>
        <r>
          <rPr>
            <sz val="9"/>
            <color indexed="81"/>
            <rFont val="Tahoma"/>
            <family val="2"/>
          </rPr>
          <t xml:space="preserve">
Este valor es estadistico, tambien se calcula, solo si tiene los tres valores o debe borrar los valores cero de Valor Total con IVA
</t>
        </r>
      </text>
    </comment>
    <comment ref="Q3" authorId="1" shapeId="0" xr:uid="{8830C154-EC9D-457C-86D0-79349DA37615}">
      <text>
        <r>
          <rPr>
            <b/>
            <sz val="9"/>
            <color indexed="81"/>
            <rFont val="Tahoma"/>
            <family val="2"/>
          </rPr>
          <t>Elkin Antonio Zuleta Montoya:</t>
        </r>
        <r>
          <rPr>
            <sz val="9"/>
            <color indexed="81"/>
            <rFont val="Tahoma"/>
            <family val="2"/>
          </rPr>
          <t xml:space="preserve">
Este valor se calcula estadisticamente, es decir, en todas las celdas, debe haber valores diferentes de cero, de lo contrario  se toma el valor cero, como un valor de número de datos y por ello, el calculo es extraño.
Si solo posee dos datos y el tercero es un CERO  lo debe borrar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7AE6E4D4-CC62-48CA-A8EF-77F9BF9F8547}">
      <text>
        <r>
          <rPr>
            <b/>
            <sz val="9"/>
            <color indexed="81"/>
            <rFont val="Tahoma"/>
            <family val="2"/>
          </rPr>
          <t>Nikkel:</t>
        </r>
        <r>
          <rPr>
            <sz val="9"/>
            <color indexed="81"/>
            <rFont val="Tahoma"/>
            <family val="2"/>
          </rPr>
          <t xml:space="preserve">
Buscarlo en la hoja Adjunta</t>
        </r>
      </text>
    </comment>
    <comment ref="E3" authorId="1" shapeId="0" xr:uid="{4BF5A160-ACBE-4CEA-997E-80F0ADACE7F3}">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F3" authorId="1" shapeId="0" xr:uid="{86C2ADAC-6752-48CA-AAE5-E9C25A16014E}">
      <text>
        <r>
          <rPr>
            <sz val="9"/>
            <color indexed="81"/>
            <rFont val="Tahoma"/>
            <family val="2"/>
          </rPr>
          <t>Escoger de la lista y si no lo encuentra , completarlo  de forma manual</t>
        </r>
      </text>
    </comment>
    <comment ref="J3" authorId="0" shapeId="0" xr:uid="{A7E254C2-05FF-4BA2-8C7C-E8F55CD7D2A2}">
      <text>
        <r>
          <rPr>
            <b/>
            <sz val="9"/>
            <color indexed="81"/>
            <rFont val="Tahoma"/>
            <family val="2"/>
          </rPr>
          <t>Nikkel:</t>
        </r>
        <r>
          <rPr>
            <sz val="9"/>
            <color indexed="81"/>
            <rFont val="Tahoma"/>
            <family val="2"/>
          </rPr>
          <t xml:space="preserve">
Este valor se calcula directamente, pero si es diferente de 19%, Anotar el valor directo, sin el formato %, es decir  formato general
</t>
        </r>
      </text>
    </comment>
    <comment ref="N3" authorId="1" shapeId="0" xr:uid="{D15EBB22-A8C2-4F09-8580-A59890C8DC6F}">
      <text>
        <r>
          <rPr>
            <b/>
            <sz val="9"/>
            <color indexed="81"/>
            <rFont val="Tahoma"/>
            <family val="2"/>
          </rPr>
          <t>Elkin Antonio Zuleta Montoya:</t>
        </r>
        <r>
          <rPr>
            <sz val="9"/>
            <color indexed="81"/>
            <rFont val="Tahoma"/>
            <family val="2"/>
          </rPr>
          <t xml:space="preserve">
Este valor es estadistico, tambien se calcula, solo si tiene los tres valores o debe borrar los valores cero de Valor Total con IVA
</t>
        </r>
      </text>
    </comment>
    <comment ref="Q3" authorId="1" shapeId="0" xr:uid="{49CA5C07-4EE7-4013-B7FB-5AFEA8559B24}">
      <text>
        <r>
          <rPr>
            <b/>
            <sz val="9"/>
            <color indexed="81"/>
            <rFont val="Tahoma"/>
            <family val="2"/>
          </rPr>
          <t>Elkin Antonio Zuleta Montoya:</t>
        </r>
        <r>
          <rPr>
            <sz val="9"/>
            <color indexed="81"/>
            <rFont val="Tahoma"/>
            <family val="2"/>
          </rPr>
          <t xml:space="preserve">
Este valor se calcula estadisticamente, es decir, en todas las celdas, debe haber valores diferentes de cero, de lo contrario  se toma el valor cero, como un valor de número de datos y por ello, el calculo es extraño.
Si solo posee dos datos y el tercero es un CERO  lo debe borrar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4ED60B9B-A8E4-43F6-8B9B-BF976195ADC3}">
      <text>
        <r>
          <rPr>
            <b/>
            <sz val="9"/>
            <color indexed="81"/>
            <rFont val="Tahoma"/>
            <family val="2"/>
          </rPr>
          <t>Nikkel:</t>
        </r>
        <r>
          <rPr>
            <sz val="9"/>
            <color indexed="81"/>
            <rFont val="Tahoma"/>
            <family val="2"/>
          </rPr>
          <t xml:space="preserve">
Buscarlo en la hoja Adjunta</t>
        </r>
      </text>
    </comment>
    <comment ref="E3" authorId="1" shapeId="0" xr:uid="{307DA4C6-2EDF-47CC-BCE4-0271B07C3025}">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F3" authorId="1" shapeId="0" xr:uid="{0030807D-38C9-4372-A118-8E5CECC66909}">
      <text>
        <r>
          <rPr>
            <sz val="9"/>
            <color indexed="81"/>
            <rFont val="Tahoma"/>
            <family val="2"/>
          </rPr>
          <t>Escoger de la lista y si no lo encuentra , completarlo  de forma manual</t>
        </r>
      </text>
    </comment>
    <comment ref="J3" authorId="0" shapeId="0" xr:uid="{06111046-AD9D-4936-9985-B42BFE9A2723}">
      <text>
        <r>
          <rPr>
            <b/>
            <sz val="9"/>
            <color indexed="81"/>
            <rFont val="Tahoma"/>
            <family val="2"/>
          </rPr>
          <t>Nikkel:</t>
        </r>
        <r>
          <rPr>
            <sz val="9"/>
            <color indexed="81"/>
            <rFont val="Tahoma"/>
            <family val="2"/>
          </rPr>
          <t xml:space="preserve">
Anotar el valor directo , sin el formato (%)
</t>
        </r>
      </text>
    </comment>
    <comment ref="N3" authorId="1" shapeId="0" xr:uid="{7FBBD707-2D0B-4BDF-8BAC-9230A470A185}">
      <text>
        <r>
          <rPr>
            <b/>
            <sz val="9"/>
            <color indexed="81"/>
            <rFont val="Tahoma"/>
            <family val="2"/>
          </rPr>
          <t>Elkin Antonio Zuleta Montoya:</t>
        </r>
        <r>
          <rPr>
            <sz val="9"/>
            <color indexed="81"/>
            <rFont val="Tahoma"/>
            <family val="2"/>
          </rPr>
          <t xml:space="preserve">
Este valor es estadistico, tambien se calcula, solo si tiene los tres valores 
</t>
        </r>
      </text>
    </comment>
    <comment ref="Q3" authorId="1" shapeId="0" xr:uid="{2466D0FE-2375-4CCF-A920-9E0A4C8A81F4}">
      <text>
        <r>
          <rPr>
            <sz val="9"/>
            <color indexed="81"/>
            <rFont val="Tahoma"/>
            <family val="2"/>
          </rPr>
          <t xml:space="preserve">Alguna de Las celdas anteriores a este valor en la columna " </t>
        </r>
        <r>
          <rPr>
            <b/>
            <sz val="9"/>
            <color indexed="81"/>
            <rFont val="Tahoma"/>
            <family val="2"/>
          </rPr>
          <t>Valores Individuales"</t>
        </r>
        <r>
          <rPr>
            <sz val="9"/>
            <color indexed="81"/>
            <rFont val="Tahoma"/>
            <family val="2"/>
          </rPr>
          <t xml:space="preserve">, las puede borrar, según el criterio de que esté muy  desfazada ( por encima o por debajo con respecto  al valor  del </t>
        </r>
        <r>
          <rPr>
            <b/>
            <sz val="9"/>
            <color indexed="81"/>
            <rFont val="Tahoma"/>
            <family val="2"/>
          </rPr>
          <t>Promedio.</t>
        </r>
        <r>
          <rPr>
            <sz val="9"/>
            <color indexed="81"/>
            <rFont val="Tahoma"/>
            <family val="2"/>
          </rPr>
          <t xml:space="preserve">
De lo contrario este valor será igual que el </t>
        </r>
        <r>
          <rPr>
            <b/>
            <sz val="9"/>
            <color indexed="81"/>
            <rFont val="Tahoma"/>
            <family val="2"/>
          </rPr>
          <t>Promedio</t>
        </r>
        <r>
          <rPr>
            <sz val="9"/>
            <color indexed="81"/>
            <rFont val="Tahoma"/>
            <family val="2"/>
          </rPr>
          <t xml:space="preserve">
</t>
        </r>
      </text>
    </comment>
    <comment ref="R3" authorId="1" shapeId="0" xr:uid="{62EE2FC7-8128-474D-A164-306228FF40AB}">
      <text>
        <r>
          <rPr>
            <b/>
            <sz val="9"/>
            <color indexed="81"/>
            <rFont val="Tahoma"/>
            <family val="2"/>
          </rPr>
          <t>Elkin Antonio Zuleta Montoya:</t>
        </r>
        <r>
          <rPr>
            <sz val="9"/>
            <color indexed="81"/>
            <rFont val="Tahoma"/>
            <family val="2"/>
          </rPr>
          <t xml:space="preserve">
Este valor es el estadístico de cuan alejados estan los datos con respecto al </t>
        </r>
        <r>
          <rPr>
            <b/>
            <sz val="9"/>
            <color indexed="81"/>
            <rFont val="Tahoma"/>
            <family val="2"/>
          </rPr>
          <t xml:space="preserve">Promedio. </t>
        </r>
        <r>
          <rPr>
            <sz val="9"/>
            <color indexed="81"/>
            <rFont val="Tahoma"/>
            <family val="2"/>
          </rPr>
          <t xml:space="preserve"> Pero este valor, es solo UNA desviación estandar, si cualesquier valor sumado con esta desviación estandar queda incluido, quiere decir que los valores estan muy cercanos, de lo contrario se puede observar cúal de todos está más alejado.</t>
        </r>
      </text>
    </comment>
    <comment ref="S3" authorId="1" shapeId="0" xr:uid="{72F9F443-068A-4AE0-A263-1D0832C71EFB}">
      <text>
        <r>
          <rPr>
            <b/>
            <sz val="9"/>
            <color indexed="81"/>
            <rFont val="Tahoma"/>
            <family val="2"/>
          </rPr>
          <t>Elkin Antonio Zuleta Montoya:</t>
        </r>
        <r>
          <rPr>
            <sz val="9"/>
            <color indexed="81"/>
            <rFont val="Tahoma"/>
            <family val="2"/>
          </rPr>
          <t xml:space="preserve">
Como referente, un coeficiente de Variación entre precios superior al </t>
        </r>
        <r>
          <rPr>
            <b/>
            <sz val="9"/>
            <color indexed="81"/>
            <rFont val="Tahoma"/>
            <family val="2"/>
          </rPr>
          <t>20%,</t>
        </r>
        <r>
          <rPr>
            <sz val="9"/>
            <color indexed="81"/>
            <rFont val="Tahoma"/>
            <family val="2"/>
          </rPr>
          <t xml:space="preserve"> indica que los precios estan muy desfazados mientras más alto esté  el valor</t>
        </r>
      </text>
    </comment>
    <comment ref="T3" authorId="1" shapeId="0" xr:uid="{A83062E9-387E-4E3D-A0AB-186E967A45DC}">
      <text>
        <r>
          <rPr>
            <b/>
            <sz val="9"/>
            <color indexed="81"/>
            <rFont val="Tahoma"/>
            <family val="2"/>
          </rPr>
          <t>Elkin Antonio Zuleta Montoya:</t>
        </r>
        <r>
          <rPr>
            <sz val="9"/>
            <color indexed="81"/>
            <rFont val="Tahoma"/>
            <family val="2"/>
          </rPr>
          <t xml:space="preserve">
Describir la elección del proveedor de acuerdo al análisis de precios</t>
        </r>
      </text>
    </comment>
    <comment ref="U3" authorId="1" shapeId="0" xr:uid="{5D86071A-6683-4218-A989-80467E4C68C2}">
      <text>
        <r>
          <rPr>
            <sz val="9"/>
            <color indexed="81"/>
            <rFont val="Tahoma"/>
            <family val="2"/>
          </rPr>
          <t xml:space="preserve">Elegir el valor sugerido según el análisis elaborado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F9E99875-65C7-48B1-A686-7E5FED371442}">
      <text>
        <r>
          <rPr>
            <b/>
            <sz val="9"/>
            <color indexed="81"/>
            <rFont val="Tahoma"/>
            <family val="2"/>
          </rPr>
          <t>Nikkel:</t>
        </r>
        <r>
          <rPr>
            <sz val="9"/>
            <color indexed="81"/>
            <rFont val="Tahoma"/>
            <family val="2"/>
          </rPr>
          <t xml:space="preserve">
Buscarlo en la hoja Adjunta</t>
        </r>
      </text>
    </comment>
    <comment ref="E3" authorId="1" shapeId="0" xr:uid="{459C2F7B-8D5B-4EC6-B255-187EBBC9DD2F}">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F3" authorId="1" shapeId="0" xr:uid="{49BF475F-0A97-432F-A6B5-F2C20DC75006}">
      <text>
        <r>
          <rPr>
            <sz val="9"/>
            <color indexed="81"/>
            <rFont val="Tahoma"/>
            <family val="2"/>
          </rPr>
          <t>Escoger de la lista y si no lo encuentra , completarlo  de forma manual</t>
        </r>
      </text>
    </comment>
    <comment ref="J3" authorId="0" shapeId="0" xr:uid="{F2ADAEA9-458B-46AE-836B-1525A4DD21A9}">
      <text>
        <r>
          <rPr>
            <b/>
            <sz val="9"/>
            <color indexed="81"/>
            <rFont val="Tahoma"/>
            <family val="2"/>
          </rPr>
          <t>Nikkel:</t>
        </r>
        <r>
          <rPr>
            <sz val="9"/>
            <color indexed="81"/>
            <rFont val="Tahoma"/>
            <family val="2"/>
          </rPr>
          <t xml:space="preserve">
Este valor se calcula directamente, pero si es diferente de 19%, Anotar el valor directo, sin el formato %, es decir  formato general
</t>
        </r>
      </text>
    </comment>
    <comment ref="N3" authorId="1" shapeId="0" xr:uid="{6A5015B8-0BB5-4DC3-94E1-83ABE8D1252D}">
      <text>
        <r>
          <rPr>
            <b/>
            <sz val="9"/>
            <color indexed="81"/>
            <rFont val="Tahoma"/>
            <family val="2"/>
          </rPr>
          <t>Elkin Antonio Zuleta Montoya:</t>
        </r>
        <r>
          <rPr>
            <sz val="9"/>
            <color indexed="81"/>
            <rFont val="Tahoma"/>
            <family val="2"/>
          </rPr>
          <t xml:space="preserve">
Este valor es estadistico, tambien se calcula, solo si tiene los tres valores o debe borrar los valores cero de Valor Total con IVA
</t>
        </r>
      </text>
    </comment>
    <comment ref="Q3" authorId="1" shapeId="0" xr:uid="{1A69704D-7AAF-4145-83B5-4658CC969834}">
      <text>
        <r>
          <rPr>
            <b/>
            <sz val="9"/>
            <color indexed="81"/>
            <rFont val="Tahoma"/>
            <family val="2"/>
          </rPr>
          <t>Elkin Antonio Zuleta Montoya:</t>
        </r>
        <r>
          <rPr>
            <sz val="9"/>
            <color indexed="81"/>
            <rFont val="Tahoma"/>
            <family val="2"/>
          </rPr>
          <t xml:space="preserve">
Este valor se calcula estadisticamente, es decir, en todas las celdas, debe haber valores diferentes de cero, de lo contrario  se toma el valor cero, como un valor de número de datos y por ello, el calculo es extraño.
Si solo posee dos datos y el tercero es un CERO  lo debe borrar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02F86847-DEFC-475A-A564-6323F5E6E75A}">
      <text>
        <r>
          <rPr>
            <b/>
            <sz val="9"/>
            <color indexed="81"/>
            <rFont val="Tahoma"/>
            <family val="2"/>
          </rPr>
          <t>Nikkel:</t>
        </r>
        <r>
          <rPr>
            <sz val="9"/>
            <color indexed="81"/>
            <rFont val="Tahoma"/>
            <family val="2"/>
          </rPr>
          <t xml:space="preserve">
Buscarlo en la hoja Adjunta</t>
        </r>
      </text>
    </comment>
    <comment ref="E3" authorId="1" shapeId="0" xr:uid="{206352E3-6A54-43C9-BD15-4C80F15FF12E}">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F3" authorId="1" shapeId="0" xr:uid="{B5C21480-1AF0-4665-AFC3-EEC3679BF61A}">
      <text>
        <r>
          <rPr>
            <sz val="9"/>
            <color indexed="81"/>
            <rFont val="Tahoma"/>
            <family val="2"/>
          </rPr>
          <t>Escoger de la lista y si no lo encuentra , completarlo  de forma manual</t>
        </r>
      </text>
    </comment>
    <comment ref="J3" authorId="0" shapeId="0" xr:uid="{A13E7744-876A-436F-8966-0A350BB35B41}">
      <text>
        <r>
          <rPr>
            <b/>
            <sz val="9"/>
            <color indexed="81"/>
            <rFont val="Tahoma"/>
            <family val="2"/>
          </rPr>
          <t>Nikkel:</t>
        </r>
        <r>
          <rPr>
            <sz val="9"/>
            <color indexed="81"/>
            <rFont val="Tahoma"/>
            <family val="2"/>
          </rPr>
          <t xml:space="preserve">
Anotar el valor directo , sin el formato (%)
</t>
        </r>
      </text>
    </comment>
    <comment ref="Q3" authorId="1" shapeId="0" xr:uid="{1F301FD1-5307-4734-90A8-6946A6BC68C1}">
      <text>
        <r>
          <rPr>
            <b/>
            <sz val="9"/>
            <color indexed="81"/>
            <rFont val="Tahoma"/>
            <family val="2"/>
          </rPr>
          <t>Elkin Antonio Zuleta Montoya:</t>
        </r>
        <r>
          <rPr>
            <sz val="9"/>
            <color indexed="81"/>
            <rFont val="Tahoma"/>
            <family val="2"/>
          </rPr>
          <t xml:space="preserve">
Este valor es estadistico, tambien se calcula, solo si tiene los tres valores o debe borrar los valores cero de Valor Total con IVA
</t>
        </r>
      </text>
    </comment>
    <comment ref="T3" authorId="1" shapeId="0" xr:uid="{1108491E-EB19-4A43-97DE-9DCA49D61315}">
      <text>
        <r>
          <rPr>
            <b/>
            <sz val="9"/>
            <color indexed="81"/>
            <rFont val="Tahoma"/>
            <family val="2"/>
          </rPr>
          <t>Elkin Antonio Zuleta Montoya:</t>
        </r>
        <r>
          <rPr>
            <sz val="9"/>
            <color indexed="81"/>
            <rFont val="Tahoma"/>
            <family val="2"/>
          </rPr>
          <t xml:space="preserve">
Este valor se calcula estadisticamente, es decir, en todas las celdas, debe haber valores diferentes de cero, de lo contrario  se toma el valor cero, como un valor de número de datos y por ello, el calculo es extraño.
Si solo posee dos datos y el tercero es un CERO  lo debe borrar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DC952B19-669D-4B47-8AF3-9E66F304BC0E}">
      <text>
        <r>
          <rPr>
            <b/>
            <sz val="9"/>
            <color indexed="81"/>
            <rFont val="Tahoma"/>
            <family val="2"/>
          </rPr>
          <t>Nikkel:</t>
        </r>
        <r>
          <rPr>
            <sz val="9"/>
            <color indexed="81"/>
            <rFont val="Tahoma"/>
            <family val="2"/>
          </rPr>
          <t xml:space="preserve">
Buscarlo en la hoja Adjunta</t>
        </r>
      </text>
    </comment>
    <comment ref="E3" authorId="1" shapeId="0" xr:uid="{80FC77FD-AA65-4DAB-8745-4C94ED52432A}">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F3" authorId="1" shapeId="0" xr:uid="{087F1838-9237-4290-AE05-DF19D3DD33DE}">
      <text>
        <r>
          <rPr>
            <sz val="9"/>
            <color indexed="81"/>
            <rFont val="Tahoma"/>
            <family val="2"/>
          </rPr>
          <t>Escoger de la lista y si no lo encuentra , completarlo  de forma manual</t>
        </r>
      </text>
    </comment>
    <comment ref="J3" authorId="0" shapeId="0" xr:uid="{4AA2A24C-D489-479D-A173-67E9602B6623}">
      <text>
        <r>
          <rPr>
            <b/>
            <sz val="9"/>
            <color indexed="81"/>
            <rFont val="Tahoma"/>
            <family val="2"/>
          </rPr>
          <t>Nikkel:</t>
        </r>
        <r>
          <rPr>
            <sz val="9"/>
            <color indexed="81"/>
            <rFont val="Tahoma"/>
            <family val="2"/>
          </rPr>
          <t xml:space="preserve">
Anotar el valor directo , sin el formato (%)
</t>
        </r>
      </text>
    </comment>
    <comment ref="N3" authorId="1" shapeId="0" xr:uid="{B9DFD872-8371-4057-875F-0E550C5BB654}">
      <text>
        <r>
          <rPr>
            <b/>
            <sz val="9"/>
            <color indexed="81"/>
            <rFont val="Tahoma"/>
            <family val="2"/>
          </rPr>
          <t>Elkin Antonio Zuleta Montoya:</t>
        </r>
        <r>
          <rPr>
            <sz val="9"/>
            <color indexed="81"/>
            <rFont val="Tahoma"/>
            <family val="2"/>
          </rPr>
          <t xml:space="preserve">
Este valor es estadistico, tambien se calcula, solo si tiene los tres valores 
</t>
        </r>
      </text>
    </comment>
    <comment ref="Q3" authorId="1" shapeId="0" xr:uid="{D2613E56-48A0-463C-AB0B-66889831CEB8}">
      <text>
        <r>
          <rPr>
            <sz val="9"/>
            <color indexed="81"/>
            <rFont val="Tahoma"/>
            <family val="2"/>
          </rPr>
          <t xml:space="preserve">Alguna de Las celdas anteriores a este valor en la columna " </t>
        </r>
        <r>
          <rPr>
            <b/>
            <sz val="9"/>
            <color indexed="81"/>
            <rFont val="Tahoma"/>
            <family val="2"/>
          </rPr>
          <t>Valores Individuales"</t>
        </r>
        <r>
          <rPr>
            <sz val="9"/>
            <color indexed="81"/>
            <rFont val="Tahoma"/>
            <family val="2"/>
          </rPr>
          <t xml:space="preserve">, las puede borrar, según el criterio de que esté muy  desfazada ( por encima o por debajo con respecto  al valor  del </t>
        </r>
        <r>
          <rPr>
            <b/>
            <sz val="9"/>
            <color indexed="81"/>
            <rFont val="Tahoma"/>
            <family val="2"/>
          </rPr>
          <t>Promedio.</t>
        </r>
        <r>
          <rPr>
            <sz val="9"/>
            <color indexed="81"/>
            <rFont val="Tahoma"/>
            <family val="2"/>
          </rPr>
          <t xml:space="preserve">
De lo contrario este valor será igual que el </t>
        </r>
        <r>
          <rPr>
            <b/>
            <sz val="9"/>
            <color indexed="81"/>
            <rFont val="Tahoma"/>
            <family val="2"/>
          </rPr>
          <t>Promedio</t>
        </r>
        <r>
          <rPr>
            <sz val="9"/>
            <color indexed="81"/>
            <rFont val="Tahoma"/>
            <family val="2"/>
          </rPr>
          <t xml:space="preserve">
</t>
        </r>
      </text>
    </comment>
    <comment ref="R3" authorId="1" shapeId="0" xr:uid="{DB9EAFEB-3D12-4D2F-83E4-8D68EFB0E122}">
      <text>
        <r>
          <rPr>
            <b/>
            <sz val="9"/>
            <color indexed="81"/>
            <rFont val="Tahoma"/>
            <family val="2"/>
          </rPr>
          <t>Elkin Antonio Zuleta Montoya:</t>
        </r>
        <r>
          <rPr>
            <sz val="9"/>
            <color indexed="81"/>
            <rFont val="Tahoma"/>
            <family val="2"/>
          </rPr>
          <t xml:space="preserve">
Este valor es el estadístico de cuan alejados estan los datos con respecto al </t>
        </r>
        <r>
          <rPr>
            <b/>
            <sz val="9"/>
            <color indexed="81"/>
            <rFont val="Tahoma"/>
            <family val="2"/>
          </rPr>
          <t xml:space="preserve">Promedio. </t>
        </r>
        <r>
          <rPr>
            <sz val="9"/>
            <color indexed="81"/>
            <rFont val="Tahoma"/>
            <family val="2"/>
          </rPr>
          <t xml:space="preserve"> Pero este valor, es solo UNA desviación estandar, si cualesquier valor sumado con esta desviación estandar queda incluido, quiere decir que los valores estan muy cercanos, de lo contrario se puede observar cúal de todos está más alejado.</t>
        </r>
      </text>
    </comment>
    <comment ref="S3" authorId="1" shapeId="0" xr:uid="{1B59AEBA-CD79-432B-B563-39CDCDF390C0}">
      <text>
        <r>
          <rPr>
            <b/>
            <sz val="9"/>
            <color indexed="81"/>
            <rFont val="Tahoma"/>
            <family val="2"/>
          </rPr>
          <t>Elkin Antonio Zuleta Montoya:</t>
        </r>
        <r>
          <rPr>
            <sz val="9"/>
            <color indexed="81"/>
            <rFont val="Tahoma"/>
            <family val="2"/>
          </rPr>
          <t xml:space="preserve">
Como referente, un coeficiente de Variación entre precios superior al </t>
        </r>
        <r>
          <rPr>
            <b/>
            <sz val="9"/>
            <color indexed="81"/>
            <rFont val="Tahoma"/>
            <family val="2"/>
          </rPr>
          <t>20%,</t>
        </r>
        <r>
          <rPr>
            <sz val="9"/>
            <color indexed="81"/>
            <rFont val="Tahoma"/>
            <family val="2"/>
          </rPr>
          <t xml:space="preserve"> indica que los precios estan muy desfazados mientras más alto esté  el valor</t>
        </r>
      </text>
    </comment>
    <comment ref="T3" authorId="1" shapeId="0" xr:uid="{3F6EB887-70E5-44C4-871F-E5F516471E4E}">
      <text>
        <r>
          <rPr>
            <b/>
            <sz val="9"/>
            <color indexed="81"/>
            <rFont val="Tahoma"/>
            <family val="2"/>
          </rPr>
          <t>Elkin Antonio Zuleta Montoya:</t>
        </r>
        <r>
          <rPr>
            <sz val="9"/>
            <color indexed="81"/>
            <rFont val="Tahoma"/>
            <family val="2"/>
          </rPr>
          <t xml:space="preserve">
Describir la elección del proveedor de acuerdo al análisis de precios</t>
        </r>
      </text>
    </comment>
    <comment ref="U3" authorId="1" shapeId="0" xr:uid="{7BE42995-740D-451F-8BB6-516FCF3456D3}">
      <text>
        <r>
          <rPr>
            <sz val="9"/>
            <color indexed="81"/>
            <rFont val="Tahoma"/>
            <family val="2"/>
          </rPr>
          <t xml:space="preserve">Elegir el valor sugerido según el análisis elaborado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5" authorId="0" shapeId="0" xr:uid="{5E84F88D-FFC2-4396-B3AE-79B530CE42EC}">
      <text>
        <r>
          <rPr>
            <b/>
            <sz val="9"/>
            <color indexed="81"/>
            <rFont val="Tahoma"/>
            <family val="2"/>
          </rPr>
          <t>Nikkel:</t>
        </r>
        <r>
          <rPr>
            <sz val="9"/>
            <color indexed="81"/>
            <rFont val="Tahoma"/>
            <family val="2"/>
          </rPr>
          <t xml:space="preserve">
Buscarlo en la hoja Adjunta</t>
        </r>
      </text>
    </comment>
    <comment ref="E5" authorId="1" shapeId="0" xr:uid="{451A2830-AD27-4890-9161-71AFF75AA560}">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F5" authorId="1" shapeId="0" xr:uid="{8F78B708-A00A-43CC-BD6B-438726D9F191}">
      <text>
        <r>
          <rPr>
            <sz val="9"/>
            <color indexed="81"/>
            <rFont val="Tahoma"/>
            <family val="2"/>
          </rPr>
          <t>Escoger de la lista y si no lo encuentra , completarlo  de forma manual</t>
        </r>
      </text>
    </comment>
    <comment ref="J5" authorId="0" shapeId="0" xr:uid="{F9D5B2EF-DE4F-4CAA-ADD8-564125EFD87D}">
      <text>
        <r>
          <rPr>
            <b/>
            <sz val="9"/>
            <color indexed="81"/>
            <rFont val="Tahoma"/>
            <family val="2"/>
          </rPr>
          <t>Nikkel:</t>
        </r>
        <r>
          <rPr>
            <sz val="9"/>
            <color indexed="81"/>
            <rFont val="Tahoma"/>
            <family val="2"/>
          </rPr>
          <t xml:space="preserve">
Este valor se calcula directamente, pero si es diferente de 19%, Anotar el valor directo, sin el formato %, es decir  formato general
</t>
        </r>
      </text>
    </comment>
    <comment ref="N5" authorId="1" shapeId="0" xr:uid="{8B9735F3-83AC-4564-8265-E48B7A370266}">
      <text>
        <r>
          <rPr>
            <b/>
            <sz val="9"/>
            <color indexed="81"/>
            <rFont val="Tahoma"/>
            <family val="2"/>
          </rPr>
          <t>Elkin Antonio Zuleta Montoya:</t>
        </r>
        <r>
          <rPr>
            <sz val="9"/>
            <color indexed="81"/>
            <rFont val="Tahoma"/>
            <family val="2"/>
          </rPr>
          <t xml:space="preserve">
Este valor es estadistico, tambien se calcula, solo si tiene los tres valores o debe borrar los valores cero de Valor Total con IVA
</t>
        </r>
      </text>
    </comment>
    <comment ref="Q5" authorId="1" shapeId="0" xr:uid="{2972F427-BD30-4E8D-886B-82BDE10C8706}">
      <text>
        <r>
          <rPr>
            <b/>
            <sz val="9"/>
            <color indexed="81"/>
            <rFont val="Tahoma"/>
            <family val="2"/>
          </rPr>
          <t>Elkin Antonio Zuleta Montoya:</t>
        </r>
        <r>
          <rPr>
            <sz val="9"/>
            <color indexed="81"/>
            <rFont val="Tahoma"/>
            <family val="2"/>
          </rPr>
          <t xml:space="preserve">
Este valor se calcula estadisticamente, es decir, en todas las celdas, debe haber valores diferentes de cero, de lo contrario  se toma el valor cero, como un valor de número de datos y por ello, el calculo es extraño.
Si solo posee dos datos y el tercero es un CERO  lo debe borrar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61">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bk>
      <extLst>
        <ext uri="{3e2802c4-a4d2-4d8b-9148-e3be6c30e623}">
          <xlrd:rvb i="71"/>
        </ext>
      </extLst>
    </bk>
    <bk>
      <extLst>
        <ext uri="{3e2802c4-a4d2-4d8b-9148-e3be6c30e623}">
          <xlrd:rvb i="72"/>
        </ext>
      </extLst>
    </bk>
    <bk>
      <extLst>
        <ext uri="{3e2802c4-a4d2-4d8b-9148-e3be6c30e623}">
          <xlrd:rvb i="73"/>
        </ext>
      </extLst>
    </bk>
    <bk>
      <extLst>
        <ext uri="{3e2802c4-a4d2-4d8b-9148-e3be6c30e623}">
          <xlrd:rvb i="74"/>
        </ext>
      </extLst>
    </bk>
    <bk>
      <extLst>
        <ext uri="{3e2802c4-a4d2-4d8b-9148-e3be6c30e623}">
          <xlrd:rvb i="75"/>
        </ext>
      </extLst>
    </bk>
    <bk>
      <extLst>
        <ext uri="{3e2802c4-a4d2-4d8b-9148-e3be6c30e623}">
          <xlrd:rvb i="76"/>
        </ext>
      </extLst>
    </bk>
    <bk>
      <extLst>
        <ext uri="{3e2802c4-a4d2-4d8b-9148-e3be6c30e623}">
          <xlrd:rvb i="77"/>
        </ext>
      </extLst>
    </bk>
    <bk>
      <extLst>
        <ext uri="{3e2802c4-a4d2-4d8b-9148-e3be6c30e623}">
          <xlrd:rvb i="78"/>
        </ext>
      </extLst>
    </bk>
    <bk>
      <extLst>
        <ext uri="{3e2802c4-a4d2-4d8b-9148-e3be6c30e623}">
          <xlrd:rvb i="79"/>
        </ext>
      </extLst>
    </bk>
    <bk>
      <extLst>
        <ext uri="{3e2802c4-a4d2-4d8b-9148-e3be6c30e623}">
          <xlrd:rvb i="80"/>
        </ext>
      </extLst>
    </bk>
    <bk>
      <extLst>
        <ext uri="{3e2802c4-a4d2-4d8b-9148-e3be6c30e623}">
          <xlrd:rvb i="81"/>
        </ext>
      </extLst>
    </bk>
    <bk>
      <extLst>
        <ext uri="{3e2802c4-a4d2-4d8b-9148-e3be6c30e623}">
          <xlrd:rvb i="82"/>
        </ext>
      </extLst>
    </bk>
    <bk>
      <extLst>
        <ext uri="{3e2802c4-a4d2-4d8b-9148-e3be6c30e623}">
          <xlrd:rvb i="83"/>
        </ext>
      </extLst>
    </bk>
    <bk>
      <extLst>
        <ext uri="{3e2802c4-a4d2-4d8b-9148-e3be6c30e623}">
          <xlrd:rvb i="84"/>
        </ext>
      </extLst>
    </bk>
    <bk>
      <extLst>
        <ext uri="{3e2802c4-a4d2-4d8b-9148-e3be6c30e623}">
          <xlrd:rvb i="85"/>
        </ext>
      </extLst>
    </bk>
    <bk>
      <extLst>
        <ext uri="{3e2802c4-a4d2-4d8b-9148-e3be6c30e623}">
          <xlrd:rvb i="86"/>
        </ext>
      </extLst>
    </bk>
    <bk>
      <extLst>
        <ext uri="{3e2802c4-a4d2-4d8b-9148-e3be6c30e623}">
          <xlrd:rvb i="87"/>
        </ext>
      </extLst>
    </bk>
    <bk>
      <extLst>
        <ext uri="{3e2802c4-a4d2-4d8b-9148-e3be6c30e623}">
          <xlrd:rvb i="88"/>
        </ext>
      </extLst>
    </bk>
    <bk>
      <extLst>
        <ext uri="{3e2802c4-a4d2-4d8b-9148-e3be6c30e623}">
          <xlrd:rvb i="89"/>
        </ext>
      </extLst>
    </bk>
    <bk>
      <extLst>
        <ext uri="{3e2802c4-a4d2-4d8b-9148-e3be6c30e623}">
          <xlrd:rvb i="90"/>
        </ext>
      </extLst>
    </bk>
    <bk>
      <extLst>
        <ext uri="{3e2802c4-a4d2-4d8b-9148-e3be6c30e623}">
          <xlrd:rvb i="91"/>
        </ext>
      </extLst>
    </bk>
    <bk>
      <extLst>
        <ext uri="{3e2802c4-a4d2-4d8b-9148-e3be6c30e623}">
          <xlrd:rvb i="92"/>
        </ext>
      </extLst>
    </bk>
    <bk>
      <extLst>
        <ext uri="{3e2802c4-a4d2-4d8b-9148-e3be6c30e623}">
          <xlrd:rvb i="93"/>
        </ext>
      </extLst>
    </bk>
    <bk>
      <extLst>
        <ext uri="{3e2802c4-a4d2-4d8b-9148-e3be6c30e623}">
          <xlrd:rvb i="94"/>
        </ext>
      </extLst>
    </bk>
    <bk>
      <extLst>
        <ext uri="{3e2802c4-a4d2-4d8b-9148-e3be6c30e623}">
          <xlrd:rvb i="95"/>
        </ext>
      </extLst>
    </bk>
    <bk>
      <extLst>
        <ext uri="{3e2802c4-a4d2-4d8b-9148-e3be6c30e623}">
          <xlrd:rvb i="96"/>
        </ext>
      </extLst>
    </bk>
    <bk>
      <extLst>
        <ext uri="{3e2802c4-a4d2-4d8b-9148-e3be6c30e623}">
          <xlrd:rvb i="97"/>
        </ext>
      </extLst>
    </bk>
    <bk>
      <extLst>
        <ext uri="{3e2802c4-a4d2-4d8b-9148-e3be6c30e623}">
          <xlrd:rvb i="98"/>
        </ext>
      </extLst>
    </bk>
    <bk>
      <extLst>
        <ext uri="{3e2802c4-a4d2-4d8b-9148-e3be6c30e623}">
          <xlrd:rvb i="99"/>
        </ext>
      </extLst>
    </bk>
    <bk>
      <extLst>
        <ext uri="{3e2802c4-a4d2-4d8b-9148-e3be6c30e623}">
          <xlrd:rvb i="100"/>
        </ext>
      </extLst>
    </bk>
    <bk>
      <extLst>
        <ext uri="{3e2802c4-a4d2-4d8b-9148-e3be6c30e623}">
          <xlrd:rvb i="101"/>
        </ext>
      </extLst>
    </bk>
    <bk>
      <extLst>
        <ext uri="{3e2802c4-a4d2-4d8b-9148-e3be6c30e623}">
          <xlrd:rvb i="102"/>
        </ext>
      </extLst>
    </bk>
    <bk>
      <extLst>
        <ext uri="{3e2802c4-a4d2-4d8b-9148-e3be6c30e623}">
          <xlrd:rvb i="103"/>
        </ext>
      </extLst>
    </bk>
    <bk>
      <extLst>
        <ext uri="{3e2802c4-a4d2-4d8b-9148-e3be6c30e623}">
          <xlrd:rvb i="104"/>
        </ext>
      </extLst>
    </bk>
    <bk>
      <extLst>
        <ext uri="{3e2802c4-a4d2-4d8b-9148-e3be6c30e623}">
          <xlrd:rvb i="105"/>
        </ext>
      </extLst>
    </bk>
    <bk>
      <extLst>
        <ext uri="{3e2802c4-a4d2-4d8b-9148-e3be6c30e623}">
          <xlrd:rvb i="106"/>
        </ext>
      </extLst>
    </bk>
    <bk>
      <extLst>
        <ext uri="{3e2802c4-a4d2-4d8b-9148-e3be6c30e623}">
          <xlrd:rvb i="107"/>
        </ext>
      </extLst>
    </bk>
    <bk>
      <extLst>
        <ext uri="{3e2802c4-a4d2-4d8b-9148-e3be6c30e623}">
          <xlrd:rvb i="108"/>
        </ext>
      </extLst>
    </bk>
    <bk>
      <extLst>
        <ext uri="{3e2802c4-a4d2-4d8b-9148-e3be6c30e623}">
          <xlrd:rvb i="109"/>
        </ext>
      </extLst>
    </bk>
    <bk>
      <extLst>
        <ext uri="{3e2802c4-a4d2-4d8b-9148-e3be6c30e623}">
          <xlrd:rvb i="110"/>
        </ext>
      </extLst>
    </bk>
    <bk>
      <extLst>
        <ext uri="{3e2802c4-a4d2-4d8b-9148-e3be6c30e623}">
          <xlrd:rvb i="111"/>
        </ext>
      </extLst>
    </bk>
    <bk>
      <extLst>
        <ext uri="{3e2802c4-a4d2-4d8b-9148-e3be6c30e623}">
          <xlrd:rvb i="112"/>
        </ext>
      </extLst>
    </bk>
    <bk>
      <extLst>
        <ext uri="{3e2802c4-a4d2-4d8b-9148-e3be6c30e623}">
          <xlrd:rvb i="113"/>
        </ext>
      </extLst>
    </bk>
    <bk>
      <extLst>
        <ext uri="{3e2802c4-a4d2-4d8b-9148-e3be6c30e623}">
          <xlrd:rvb i="114"/>
        </ext>
      </extLst>
    </bk>
    <bk>
      <extLst>
        <ext uri="{3e2802c4-a4d2-4d8b-9148-e3be6c30e623}">
          <xlrd:rvb i="115"/>
        </ext>
      </extLst>
    </bk>
    <bk>
      <extLst>
        <ext uri="{3e2802c4-a4d2-4d8b-9148-e3be6c30e623}">
          <xlrd:rvb i="116"/>
        </ext>
      </extLst>
    </bk>
    <bk>
      <extLst>
        <ext uri="{3e2802c4-a4d2-4d8b-9148-e3be6c30e623}">
          <xlrd:rvb i="117"/>
        </ext>
      </extLst>
    </bk>
    <bk>
      <extLst>
        <ext uri="{3e2802c4-a4d2-4d8b-9148-e3be6c30e623}">
          <xlrd:rvb i="118"/>
        </ext>
      </extLst>
    </bk>
    <bk>
      <extLst>
        <ext uri="{3e2802c4-a4d2-4d8b-9148-e3be6c30e623}">
          <xlrd:rvb i="119"/>
        </ext>
      </extLst>
    </bk>
    <bk>
      <extLst>
        <ext uri="{3e2802c4-a4d2-4d8b-9148-e3be6c30e623}">
          <xlrd:rvb i="120"/>
        </ext>
      </extLst>
    </bk>
    <bk>
      <extLst>
        <ext uri="{3e2802c4-a4d2-4d8b-9148-e3be6c30e623}">
          <xlrd:rvb i="121"/>
        </ext>
      </extLst>
    </bk>
    <bk>
      <extLst>
        <ext uri="{3e2802c4-a4d2-4d8b-9148-e3be6c30e623}">
          <xlrd:rvb i="122"/>
        </ext>
      </extLst>
    </bk>
    <bk>
      <extLst>
        <ext uri="{3e2802c4-a4d2-4d8b-9148-e3be6c30e623}">
          <xlrd:rvb i="123"/>
        </ext>
      </extLst>
    </bk>
    <bk>
      <extLst>
        <ext uri="{3e2802c4-a4d2-4d8b-9148-e3be6c30e623}">
          <xlrd:rvb i="124"/>
        </ext>
      </extLst>
    </bk>
    <bk>
      <extLst>
        <ext uri="{3e2802c4-a4d2-4d8b-9148-e3be6c30e623}">
          <xlrd:rvb i="125"/>
        </ext>
      </extLst>
    </bk>
    <bk>
      <extLst>
        <ext uri="{3e2802c4-a4d2-4d8b-9148-e3be6c30e623}">
          <xlrd:rvb i="126"/>
        </ext>
      </extLst>
    </bk>
    <bk>
      <extLst>
        <ext uri="{3e2802c4-a4d2-4d8b-9148-e3be6c30e623}">
          <xlrd:rvb i="127"/>
        </ext>
      </extLst>
    </bk>
    <bk>
      <extLst>
        <ext uri="{3e2802c4-a4d2-4d8b-9148-e3be6c30e623}">
          <xlrd:rvb i="128"/>
        </ext>
      </extLst>
    </bk>
    <bk>
      <extLst>
        <ext uri="{3e2802c4-a4d2-4d8b-9148-e3be6c30e623}">
          <xlrd:rvb i="129"/>
        </ext>
      </extLst>
    </bk>
    <bk>
      <extLst>
        <ext uri="{3e2802c4-a4d2-4d8b-9148-e3be6c30e623}">
          <xlrd:rvb i="130"/>
        </ext>
      </extLst>
    </bk>
    <bk>
      <extLst>
        <ext uri="{3e2802c4-a4d2-4d8b-9148-e3be6c30e623}">
          <xlrd:rvb i="131"/>
        </ext>
      </extLst>
    </bk>
    <bk>
      <extLst>
        <ext uri="{3e2802c4-a4d2-4d8b-9148-e3be6c30e623}">
          <xlrd:rvb i="132"/>
        </ext>
      </extLst>
    </bk>
    <bk>
      <extLst>
        <ext uri="{3e2802c4-a4d2-4d8b-9148-e3be6c30e623}">
          <xlrd:rvb i="133"/>
        </ext>
      </extLst>
    </bk>
    <bk>
      <extLst>
        <ext uri="{3e2802c4-a4d2-4d8b-9148-e3be6c30e623}">
          <xlrd:rvb i="134"/>
        </ext>
      </extLst>
    </bk>
    <bk>
      <extLst>
        <ext uri="{3e2802c4-a4d2-4d8b-9148-e3be6c30e623}">
          <xlrd:rvb i="135"/>
        </ext>
      </extLst>
    </bk>
    <bk>
      <extLst>
        <ext uri="{3e2802c4-a4d2-4d8b-9148-e3be6c30e623}">
          <xlrd:rvb i="136"/>
        </ext>
      </extLst>
    </bk>
    <bk>
      <extLst>
        <ext uri="{3e2802c4-a4d2-4d8b-9148-e3be6c30e623}">
          <xlrd:rvb i="137"/>
        </ext>
      </extLst>
    </bk>
    <bk>
      <extLst>
        <ext uri="{3e2802c4-a4d2-4d8b-9148-e3be6c30e623}">
          <xlrd:rvb i="138"/>
        </ext>
      </extLst>
    </bk>
    <bk>
      <extLst>
        <ext uri="{3e2802c4-a4d2-4d8b-9148-e3be6c30e623}">
          <xlrd:rvb i="139"/>
        </ext>
      </extLst>
    </bk>
    <bk>
      <extLst>
        <ext uri="{3e2802c4-a4d2-4d8b-9148-e3be6c30e623}">
          <xlrd:rvb i="140"/>
        </ext>
      </extLst>
    </bk>
    <bk>
      <extLst>
        <ext uri="{3e2802c4-a4d2-4d8b-9148-e3be6c30e623}">
          <xlrd:rvb i="141"/>
        </ext>
      </extLst>
    </bk>
    <bk>
      <extLst>
        <ext uri="{3e2802c4-a4d2-4d8b-9148-e3be6c30e623}">
          <xlrd:rvb i="142"/>
        </ext>
      </extLst>
    </bk>
    <bk>
      <extLst>
        <ext uri="{3e2802c4-a4d2-4d8b-9148-e3be6c30e623}">
          <xlrd:rvb i="143"/>
        </ext>
      </extLst>
    </bk>
    <bk>
      <extLst>
        <ext uri="{3e2802c4-a4d2-4d8b-9148-e3be6c30e623}">
          <xlrd:rvb i="144"/>
        </ext>
      </extLst>
    </bk>
    <bk>
      <extLst>
        <ext uri="{3e2802c4-a4d2-4d8b-9148-e3be6c30e623}">
          <xlrd:rvb i="145"/>
        </ext>
      </extLst>
    </bk>
    <bk>
      <extLst>
        <ext uri="{3e2802c4-a4d2-4d8b-9148-e3be6c30e623}">
          <xlrd:rvb i="146"/>
        </ext>
      </extLst>
    </bk>
    <bk>
      <extLst>
        <ext uri="{3e2802c4-a4d2-4d8b-9148-e3be6c30e623}">
          <xlrd:rvb i="147"/>
        </ext>
      </extLst>
    </bk>
    <bk>
      <extLst>
        <ext uri="{3e2802c4-a4d2-4d8b-9148-e3be6c30e623}">
          <xlrd:rvb i="148"/>
        </ext>
      </extLst>
    </bk>
    <bk>
      <extLst>
        <ext uri="{3e2802c4-a4d2-4d8b-9148-e3be6c30e623}">
          <xlrd:rvb i="149"/>
        </ext>
      </extLst>
    </bk>
    <bk>
      <extLst>
        <ext uri="{3e2802c4-a4d2-4d8b-9148-e3be6c30e623}">
          <xlrd:rvb i="150"/>
        </ext>
      </extLst>
    </bk>
    <bk>
      <extLst>
        <ext uri="{3e2802c4-a4d2-4d8b-9148-e3be6c30e623}">
          <xlrd:rvb i="151"/>
        </ext>
      </extLst>
    </bk>
    <bk>
      <extLst>
        <ext uri="{3e2802c4-a4d2-4d8b-9148-e3be6c30e623}">
          <xlrd:rvb i="152"/>
        </ext>
      </extLst>
    </bk>
    <bk>
      <extLst>
        <ext uri="{3e2802c4-a4d2-4d8b-9148-e3be6c30e623}">
          <xlrd:rvb i="153"/>
        </ext>
      </extLst>
    </bk>
    <bk>
      <extLst>
        <ext uri="{3e2802c4-a4d2-4d8b-9148-e3be6c30e623}">
          <xlrd:rvb i="154"/>
        </ext>
      </extLst>
    </bk>
    <bk>
      <extLst>
        <ext uri="{3e2802c4-a4d2-4d8b-9148-e3be6c30e623}">
          <xlrd:rvb i="155"/>
        </ext>
      </extLst>
    </bk>
    <bk>
      <extLst>
        <ext uri="{3e2802c4-a4d2-4d8b-9148-e3be6c30e623}">
          <xlrd:rvb i="156"/>
        </ext>
      </extLst>
    </bk>
    <bk>
      <extLst>
        <ext uri="{3e2802c4-a4d2-4d8b-9148-e3be6c30e623}">
          <xlrd:rvb i="157"/>
        </ext>
      </extLst>
    </bk>
    <bk>
      <extLst>
        <ext uri="{3e2802c4-a4d2-4d8b-9148-e3be6c30e623}">
          <xlrd:rvb i="158"/>
        </ext>
      </extLst>
    </bk>
    <bk>
      <extLst>
        <ext uri="{3e2802c4-a4d2-4d8b-9148-e3be6c30e623}">
          <xlrd:rvb i="159"/>
        </ext>
      </extLst>
    </bk>
    <bk>
      <extLst>
        <ext uri="{3e2802c4-a4d2-4d8b-9148-e3be6c30e623}">
          <xlrd:rvb i="160"/>
        </ext>
      </extLst>
    </bk>
  </futureMetadata>
  <valueMetadata count="161">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bk>
      <rc t="1" v="71"/>
    </bk>
    <bk>
      <rc t="1" v="72"/>
    </bk>
    <bk>
      <rc t="1" v="73"/>
    </bk>
    <bk>
      <rc t="1" v="74"/>
    </bk>
    <bk>
      <rc t="1" v="75"/>
    </bk>
    <bk>
      <rc t="1" v="76"/>
    </bk>
    <bk>
      <rc t="1" v="77"/>
    </bk>
    <bk>
      <rc t="1" v="78"/>
    </bk>
    <bk>
      <rc t="1" v="79"/>
    </bk>
    <bk>
      <rc t="1" v="80"/>
    </bk>
    <bk>
      <rc t="1" v="81"/>
    </bk>
    <bk>
      <rc t="1" v="82"/>
    </bk>
    <bk>
      <rc t="1" v="83"/>
    </bk>
    <bk>
      <rc t="1" v="84"/>
    </bk>
    <bk>
      <rc t="1" v="85"/>
    </bk>
    <bk>
      <rc t="1" v="86"/>
    </bk>
    <bk>
      <rc t="1" v="87"/>
    </bk>
    <bk>
      <rc t="1" v="88"/>
    </bk>
    <bk>
      <rc t="1" v="89"/>
    </bk>
    <bk>
      <rc t="1" v="90"/>
    </bk>
    <bk>
      <rc t="1" v="91"/>
    </bk>
    <bk>
      <rc t="1" v="92"/>
    </bk>
    <bk>
      <rc t="1" v="93"/>
    </bk>
    <bk>
      <rc t="1" v="94"/>
    </bk>
    <bk>
      <rc t="1" v="95"/>
    </bk>
    <bk>
      <rc t="1" v="96"/>
    </bk>
    <bk>
      <rc t="1" v="97"/>
    </bk>
    <bk>
      <rc t="1" v="98"/>
    </bk>
    <bk>
      <rc t="1" v="99"/>
    </bk>
    <bk>
      <rc t="1" v="100"/>
    </bk>
    <bk>
      <rc t="1" v="101"/>
    </bk>
    <bk>
      <rc t="1" v="102"/>
    </bk>
    <bk>
      <rc t="1" v="103"/>
    </bk>
    <bk>
      <rc t="1" v="104"/>
    </bk>
    <bk>
      <rc t="1" v="105"/>
    </bk>
    <bk>
      <rc t="1" v="106"/>
    </bk>
    <bk>
      <rc t="1" v="107"/>
    </bk>
    <bk>
      <rc t="1" v="108"/>
    </bk>
    <bk>
      <rc t="1" v="109"/>
    </bk>
    <bk>
      <rc t="1" v="110"/>
    </bk>
    <bk>
      <rc t="1" v="111"/>
    </bk>
    <bk>
      <rc t="1" v="112"/>
    </bk>
    <bk>
      <rc t="1" v="113"/>
    </bk>
    <bk>
      <rc t="1" v="114"/>
    </bk>
    <bk>
      <rc t="1" v="115"/>
    </bk>
    <bk>
      <rc t="1" v="116"/>
    </bk>
    <bk>
      <rc t="1" v="117"/>
    </bk>
    <bk>
      <rc t="1" v="118"/>
    </bk>
    <bk>
      <rc t="1" v="119"/>
    </bk>
    <bk>
      <rc t="1" v="120"/>
    </bk>
    <bk>
      <rc t="1" v="121"/>
    </bk>
    <bk>
      <rc t="1" v="122"/>
    </bk>
    <bk>
      <rc t="1" v="123"/>
    </bk>
    <bk>
      <rc t="1" v="124"/>
    </bk>
    <bk>
      <rc t="1" v="125"/>
    </bk>
    <bk>
      <rc t="1" v="126"/>
    </bk>
    <bk>
      <rc t="1" v="127"/>
    </bk>
    <bk>
      <rc t="1" v="128"/>
    </bk>
    <bk>
      <rc t="1" v="129"/>
    </bk>
    <bk>
      <rc t="1" v="130"/>
    </bk>
    <bk>
      <rc t="1" v="131"/>
    </bk>
    <bk>
      <rc t="1" v="132"/>
    </bk>
    <bk>
      <rc t="1" v="133"/>
    </bk>
    <bk>
      <rc t="1" v="134"/>
    </bk>
    <bk>
      <rc t="1" v="135"/>
    </bk>
    <bk>
      <rc t="1" v="136"/>
    </bk>
    <bk>
      <rc t="1" v="137"/>
    </bk>
    <bk>
      <rc t="1" v="138"/>
    </bk>
    <bk>
      <rc t="1" v="139"/>
    </bk>
    <bk>
      <rc t="1" v="140"/>
    </bk>
    <bk>
      <rc t="1" v="141"/>
    </bk>
    <bk>
      <rc t="1" v="142"/>
    </bk>
    <bk>
      <rc t="1" v="143"/>
    </bk>
    <bk>
      <rc t="1" v="144"/>
    </bk>
    <bk>
      <rc t="1" v="145"/>
    </bk>
    <bk>
      <rc t="1" v="146"/>
    </bk>
    <bk>
      <rc t="1" v="147"/>
    </bk>
    <bk>
      <rc t="1" v="148"/>
    </bk>
    <bk>
      <rc t="1" v="149"/>
    </bk>
    <bk>
      <rc t="1" v="150"/>
    </bk>
    <bk>
      <rc t="1" v="151"/>
    </bk>
    <bk>
      <rc t="1" v="152"/>
    </bk>
    <bk>
      <rc t="1" v="153"/>
    </bk>
    <bk>
      <rc t="1" v="154"/>
    </bk>
    <bk>
      <rc t="1" v="155"/>
    </bk>
    <bk>
      <rc t="1" v="156"/>
    </bk>
    <bk>
      <rc t="1" v="157"/>
    </bk>
    <bk>
      <rc t="1" v="158"/>
    </bk>
    <bk>
      <rc t="1" v="159"/>
    </bk>
    <bk>
      <rc t="1" v="160"/>
    </bk>
  </valueMetadata>
</metadata>
</file>

<file path=xl/sharedStrings.xml><?xml version="1.0" encoding="utf-8"?>
<sst xmlns="http://schemas.openxmlformats.org/spreadsheetml/2006/main" count="5000" uniqueCount="2097">
  <si>
    <t>Relación de elemctos a cotizar (información suministrata por el Centro de Formación)</t>
  </si>
  <si>
    <t>Información a registrar por el cotizante</t>
  </si>
  <si>
    <t>Análisis del precio</t>
  </si>
  <si>
    <t>Item</t>
  </si>
  <si>
    <t>Código
UNSPSC</t>
  </si>
  <si>
    <t>Producto</t>
  </si>
  <si>
    <t>Descripción</t>
  </si>
  <si>
    <r>
      <t xml:space="preserve">Unidad de medida </t>
    </r>
    <r>
      <rPr>
        <b/>
        <i/>
        <sz val="8"/>
        <color rgb="FFFF0000"/>
        <rFont val="Calibri"/>
        <family val="2"/>
      </rPr>
      <t>Escoger Lista</t>
    </r>
  </si>
  <si>
    <r>
      <t xml:space="preserve">Presentación
</t>
    </r>
    <r>
      <rPr>
        <b/>
        <sz val="8"/>
        <color rgb="FFFF0000"/>
        <rFont val="Calibri"/>
        <family val="2"/>
      </rPr>
      <t>Escoger Lista</t>
    </r>
  </si>
  <si>
    <t>Cantidad
solicitada</t>
  </si>
  <si>
    <t>Proveedor</t>
  </si>
  <si>
    <t xml:space="preserve">Valor Unitario sin IVA </t>
  </si>
  <si>
    <t>Valor del IVA (%)</t>
  </si>
  <si>
    <t xml:space="preserve">Valor Unitario con IVA </t>
  </si>
  <si>
    <t>Valor Total  con IVA</t>
  </si>
  <si>
    <t>PROMEDIO</t>
  </si>
  <si>
    <t>Media
Armonica</t>
  </si>
  <si>
    <t>Mediana</t>
  </si>
  <si>
    <t>Valores
Individuales</t>
  </si>
  <si>
    <t>Media Podada</t>
  </si>
  <si>
    <t>Desviación Estandar</t>
  </si>
  <si>
    <t>Coeficiente
de Variación</t>
  </si>
  <si>
    <t>Conclusiones análisis del precio</t>
  </si>
  <si>
    <t>Valor total establecido. Incluido IVA</t>
  </si>
  <si>
    <t>Cuero ondula folia</t>
  </si>
  <si>
    <t>dm2</t>
  </si>
  <si>
    <t>Hoja</t>
  </si>
  <si>
    <t>La nueva peleteria</t>
  </si>
  <si>
    <t>Cueros  lucas</t>
  </si>
  <si>
    <t>Cuero etnico</t>
  </si>
  <si>
    <t>Cueros lucas</t>
  </si>
  <si>
    <t>Cuero Forro Cerdo</t>
  </si>
  <si>
    <t>Cabripiel</t>
  </si>
  <si>
    <t>Forro Badana</t>
  </si>
  <si>
    <t xml:space="preserve">Cuero verenice </t>
  </si>
  <si>
    <t>Cuero verenice ondula</t>
  </si>
  <si>
    <t>Cuero Arizona</t>
  </si>
  <si>
    <t>La nuevapeleteria</t>
  </si>
  <si>
    <t>Cuero medusa</t>
  </si>
  <si>
    <t>dm</t>
  </si>
  <si>
    <t>Cambrel 100 gr</t>
  </si>
  <si>
    <t xml:space="preserve">Cambrel o Politex a base100% (Polipropileno). Es un Térmoplastico cristalino obtenido por polimerización de polipropileno derivado del petróleo que se compone de microfibras unidas no tejidas, se encuentra en gran variedad de colores. Calibre 100gr REQUIERE MUESTRA </t>
  </si>
  <si>
    <t>m</t>
  </si>
  <si>
    <t>Metro</t>
  </si>
  <si>
    <t>El mayorista</t>
  </si>
  <si>
    <t>Calypso</t>
  </si>
  <si>
    <t>Impogreen</t>
  </si>
  <si>
    <t>Interlón 100 gr</t>
  </si>
  <si>
    <t xml:space="preserve">Es un tipo de tela producida al formar una red con fibras que se unen por procedimientos químicos, pero sin ser tejidas, sin pasar por un telar. Físicamente se siente como papel tela. Es una lámina, de fibras flexibles y porosas, sin trama. Composición: Poliéster aglomerado químicamente. Calibre:100 gr. Color:Blanco  REQUIERE MUESTRA </t>
  </si>
  <si>
    <t>Distribuidora surtiboton</t>
  </si>
  <si>
    <t>Textti</t>
  </si>
  <si>
    <t>Microfibra P.U Velvet No.7</t>
  </si>
  <si>
    <t>Lamina enrollable sintética compuesta por 50% poliuretano y  50%poliamida,  es utilizada para reforzar y/o estructurar diferentes tipos de materiales de marroquinería. Estos se caracterizan por ser realmente suaves, resistentes e indeformables. Calibre: : mm 0,7 (+/-0,1) Peso : 300 g/m (+/-50)  
Calibre: mm 0,7 (+/-0,1). Peso : g/m2, 300 (+/-50) Resistencia a la tracción: L N/1cm&gt; 50 T &gt; 50 Alargamiento:L %/1cm &gt; 40 T &gt; 50 Resistencia al desgarro: L N/3cm &gt; 40 T &gt; 40. Resistencia a la explosión g/cm2 &gt; 13. Suavidad (mm) 5.0 +/- 1.0</t>
  </si>
  <si>
    <t>Eurocompo</t>
  </si>
  <si>
    <t>Historial 2025</t>
  </si>
  <si>
    <t>Microfibra P.U Velvet No 1.0</t>
  </si>
  <si>
    <t>Lamina enrollable sintética compuesta por 50% poliuretano y  50%poliamida,  es utilizada para reforzar y/o estructurar diferentes tipos de materiales de marroquinería. Estos se caracterizan por ser realmente suaves, resistentes e indeformables. Calibre: : mm 1.0 (+/-0,1) Peso : 300 g/m (+/-50)  
Calibre: mm 0,7 (+/-0,1). Peso : g/m2, 300 (+/-50) Resistencia a la tracción: L N/1cm&gt; 50 T &gt; 50 Alargamiento:L %/1cm &gt; 40 T &gt; 50 Resistencia al desgarro: L N/3cm &gt; 40 T &gt; 40. Resistencia a la explosión g/cm2 &gt; 13. Suavidad (mm) 5.0 +/- 1.1</t>
  </si>
  <si>
    <t>Hijuepeta</t>
  </si>
  <si>
    <t>Salpa italiana 0.3</t>
  </si>
  <si>
    <t>Cuero Regenerado, también conocido como cuerson. Es un refuerzo ideal para dar soporte y rigidez a la piel, tejidos o sintéticos muy resistente y duradero.Calibre 0,3</t>
  </si>
  <si>
    <t>Escuela de artes y oficios santo domingo</t>
  </si>
  <si>
    <t>Salpa italiana  0.8</t>
  </si>
  <si>
    <t>Cuero Regenerado, también conocido como cuerson. Es un refuerzo ideal para dar soporte y rigidez a la piel, tejidos o sintéticos muy resistente y duradero.Calibre 0,8</t>
  </si>
  <si>
    <t>Adhesivo cloropreno base agua de bajo desempeño</t>
  </si>
  <si>
    <t>Cemento de contacto a base de agua con una alta concentración de ingredientes activos y tecnológicos, especialmente diseñado para los procesos de adhesión de sustratos como cuero, algodón, lonas y materiales sintéticos en la industria del calzado y la marroquinería. Destaca por su excepcional capacidad adhesiva (tack), un largo tiempo abierto, una fuerza inicial y final óptimas, así como un corto tiempo de secado, ideal para procesos de alta productividad. Además, ofrece un excelente rendimiento y un acabado de gran suavidad, sin emitir olores a solventes o amoniaco.
Este producto ha sido diseñado para su uso con equipos neumáticos, como pistolas o aerógrafos, permitiendo aplicaciones rápidas y eficientes que garantizan uniones sólidas y un alto rendimiento.
Lo más destacado es su compromiso ambiental; es libre de amoniaco y otros compuestos generadores de Compuestos Orgánicos Volátiles (VOC), los cuales pueden tener un impacto negativo en el medio ambiente. La cuidadosa selección de componentes no solo garantiza el rendimiento del producto, sino también la seguridad y salud ocupacional de los usuarios.
Especificaciones:
Contenido de sólidos: 53.0 ± 3 % (en horno convectivo, 120°C, 40 min).
Densidad: 3.8 ± 0.2 kg/gal (picnómetro gardco, 25°C).
Viscosidad: 350 ± 250 cP (Brookfield RV, 25°C, 20 RPM, Aguja 2).
pH: 7.0 ± 1.0 (25°C).
Apariencia: Líquido lechoso en húmedo (visual).
Otros valores típicos:
Tiempo abierto: &gt; 48 horas (película de 4 mils de espesor, 25°C, 70% HR).
Tiempo de secado: 5 -15 minutos (película de 4 mils de espesor, 25°C, 70% HR).
Presentación: frasco 1 kilo</t>
  </si>
  <si>
    <t>kg</t>
  </si>
  <si>
    <t>ICVO</t>
  </si>
  <si>
    <t>Historico del 2025</t>
  </si>
  <si>
    <t>Adhesivo cemento de contacto neopreno alto desempeño sin tolueno</t>
  </si>
  <si>
    <t>Adhesivo de contacto con alta resistencia inicial, elaborado con cauchos de cloropreno de alta resistencia a la temperatura y polímeros de alto punto de fusión, resinas fenólicas y aditivos especializados de primera calidad. Destaca por su elevado contenido de sólidos y un sistema de solventes meticulosamente seleccionados mediante estudios de ingeniería, lo que garantiza una excelente difusión en una amplia gama de materiales naturales y sintéticos para una adherencia excepcional.
Este adhesivo se ha concebido con un enfoque de responsabilidad social y empresarial, razón por la cual está LIBRE de TOLUENO y componentes clasificados en la “IARC”. Esta característica no solo reduce significativamente el riesgo de generar adicción a inhalantes*, sino que también ofrece una alternativa más segura y responsable con los colaboradores y el medio ambiente sin comprometer las ventajas de un adhesivo solvente tradicional*.
diseñado para cumplir con las demandas más exigentes en una amplia gama de industrias, incluyendo calzado, marroquinería, talabartería, carpintería, construcción y automotriz. Ofrece una adhesión excepcional en sustratos como cuero graso, semigraso, seco y sintético. Además, es adecuado para el pegado de una variedad de materiales, como EVA, lonas, caucho, neolite, crupón, textiles, cartón y otros sustratos.
Gracias a su notable resistencia a la temperatura, alta fuerza de adhesión y excelente capacidad de aplicación con brocha, el Pegante Gold Sin Tolueno es el aliado perfecto para procesos de montaje de capelladas, ya sea con o sin sistemas de vaporización.
Especificaciones:
Porcentaje de sólidos: 21 - 24 % (120°C, 20 min, Horno Convectivo).
Densidad: 3.10 – 3.30 kg/gal (25°C).
Viscosidad: 2000 – 2600 cP (Brookfield RV, 30 RPM, 25°C, Spindle 3).
Apariencia: Líquido viscoso incoloro.
Otros valores típicos:
Tiempo abierto: Aprox. 60 min (25°C, 65% HR).
Tiempo secado: (10 – 15) min (dependiendo de las condiciones ambientales).
Resistencia temperatura: (120-150) °C (método Interno MDF-Formica en horno convectivo).
Presentacion: 3000 ml</t>
  </si>
  <si>
    <t>ml</t>
  </si>
  <si>
    <t>Galon</t>
  </si>
  <si>
    <t>Rollos</t>
  </si>
  <si>
    <t>Homecenter</t>
  </si>
  <si>
    <t>Adhesivo solución de caucho</t>
  </si>
  <si>
    <t xml:space="preserve"> LA soLucl0n INDUSTRIAL es un adhesive formulado a base de resinas y
cauchos naturales de excelente calidad, es de apariencia Iechosa y
presents olor caracteristico a solventes orgénicos.
Informacion técnica:
Viscosidad brookefield aguja no. 4-3000-4000 CPS
Porcentaje de sélidos: 10 .- 12
Apariencia: Blanco
Galon: 3000 Ml
Desarrollada para pear piezas de cuero, carnazas, espumas y textiles,
antes de coserlas. durante la fabricacién de calzado. balsas. cinturones.
muebles etc. también pegan papel y carton.
</t>
  </si>
  <si>
    <t>Pegante B-6000</t>
  </si>
  <si>
    <t>Pegamento Para Cristal Touch
El pegamento adhesivo B6000 dispone de difusor de precision. Es flexible, resistente al agua y se puede pintar.
Se puede fijar en distintas superficies:
-Metal, madera, plastico, goma, papel, componentes electrúnicos, piedra, ceramica, cristal.
-B6000
-15ml
-Producto Nuevo
-Tapa con Rosca y Aplicador.
Esta herramienta pegamento B6000 ideal para el sellado del cristal panel digital pantalla tactil de tu dispositivo smartphone, Tablet, camara digital, etc...Creado con material no corrosivo, ni toxico es un sellador neutral.
Pegamento liquido transparente muy fuerte de alta calidad para la fijacion de los telefonos moviles, camaras digitales, ordenadores portatiles, Tablets, pantallas tactiles, etc.
Especial para reparaciones de smartphones y Tablets en montaje de pantallas digitalizadores tactiles. Facil aplicacion al incluir tapon difusor con mejor precision acabado en punta.</t>
  </si>
  <si>
    <t>u</t>
  </si>
  <si>
    <t>Unidades</t>
  </si>
  <si>
    <t>Mercado libre</t>
  </si>
  <si>
    <t>Bidecol</t>
  </si>
  <si>
    <t>Pegamento Epóxico Transparente doble componente</t>
  </si>
  <si>
    <t>Adhesivo epóxico de dos componentes de alto desempeño, diseñado para reparaciones que requieren una unión estructural fuerte y una curación extremadamente rápida. Se presenta en un formato de jeringa doble, lo cual es clave para asegurar que la mezcla de los reactivos sea precisa. Se destaca por su versatilidad y rendimiento excepcional. Con un tiempo de endurecimiento de tan solo 5 minutos y listo para usar en 1 hora, te permite avanzar rápidamente en tus tareas. Su acabado transparente y resistencia al agua lo hacen perfecto para una amplia gama de materiales, asegurando uniones duraderas y confiables en diversas superficies.
Sistema de Aplicación (Jeringa Dual)
El envase de 25 ml está diseñado con dos cilindros independientes unidos a un solo émbolo.
Dosificación Automática: Al presionar el émbolo, la jeringa libera cantidades iguales (relación 1:1) de resina y endurecedor simultáneamente. Esto elimina el error humano al medir las proporciones.
Boquilla de Salida: Cuenta con dos orificios de salida independientes para evitar que el producto se endurezca dentro de la jeringa después del primer uso.
Propiedades Químicas y Tiempo de Reacción
Tipo: Epóxico de curado rápido (5 minutos).
Tiempo de Trabajo: Tienes aproximadamente 5 minutos para mezclar, aplicar y posicionar las piezas antes de que el adhesivo comience a gelificar.
Acabado: Según la etiqueta, seca de forma transparente (cristalino), lo cual es ideal para reparaciones estéticas donde no se quiere que se note el pegante.
Fuerza: Se clasifica como "Super Strong", diseñado para soportar tensiones mecánicas una vez que alcanza su curado total (generalmente a las 24 horas).
Tipo:Adhesivos epóxico
Peso:0.025 kg
Tipo de sustrato:Flexible
Color:Transparente
Cuenta con resistencia al agua:Si
Antimoho:No
Presentación:Jeringa
Rendimiento:25 gr
Superficie de aplicación:Epóxico
Secado final:10 min
Contenido:25 g</t>
  </si>
  <si>
    <t>Medecentro</t>
  </si>
  <si>
    <t>Agujas de coser a máquina elaboradas en acero con revestimiento de cromo para evitar el óxido y dar más resistencia. La punta de las agujas redondas es circular, es decir, estas agujas tienen una punta en forma de cono y no corta el material cuando lo atraviesa, son usada para coser textiles.
Sistema de la aguja: 134-35
Punta: R (redonda)
Diámetro del talón: no menor 200 (Ø 2 mm)
Calibres de aguja: Nm 100/16 (Ø 1.00 mm), Nm 110/18 (Ø 1.10 mm),Nm 125/20(Ø 1.25 mm).</t>
  </si>
  <si>
    <t>ccm tienda del sonido</t>
  </si>
  <si>
    <t>Adhesivo Instantaneo 120 Gr</t>
  </si>
  <si>
    <t>adhesivo instantáneo de alta calidad, formulado con cianoacrilato para garantizar una fijación fuerte y duradera en una amplia variedad de materiales. Su pegado ultrarrápido en solo segundos lo convierte en la solución ideal para reparaciones rápidas y proyectos de bricolaje.
🔹 Adhesión extra fuerte y de secado rápido.
🔹 Compatible con metal, plástico, vidrio, madera, porcelana, papel, cuero y más.
🔹 Fórmula transparente para un acabado limpio y profesional.
🔹 Ideal para reparaciones en el hogar, manualidades y uso profesional.
🔹 Fácil de aplicar y con una vida útil de hasta 1 año en condiciones óptimas.
Color: Transparente
Peso: 120 gr</t>
  </si>
  <si>
    <t>Infinita</t>
  </si>
  <si>
    <t xml:space="preserve">Agujas de coser a máquina elaboradas en acero con revestimiento de cromo para evitar el óxido y dar más resistencia. La punta de las agujas redondas es circular, es decir, estas agujas tienen una punta en forma de cono y no corta el material cuando lo atraviesa, son usada para coser textiles.
Sistema de la aguja: 134-35
Punta: LR
Diámetro del talón: no menor 200 (Ø 2 mm)
Calibres de aguja: Nm 110/18 (Ø 1.10 mm), Nm 125/20 (Ø 1.25 mm) </t>
  </si>
  <si>
    <t>La casa de los cordones</t>
  </si>
  <si>
    <t xml:space="preserve">Hilo Nylon calibre 20 </t>
  </si>
  <si>
    <t>Hilo de nylon lubricado hecho de filamento continuo de nylon 6.6 preestabilizado. Tiene un acabado suave de baja fricción que reduce los efectos del calor de la aguja y ofrece una excelente resistencia a la abrasión. Colores
AMARILLO 27BVA Cantidad: 30 unidades
AMARILLO 60BVA Cantidad: 5 unidades
AMARILLO 33HVA Cantidad: 5 unidades
MOSTAZA 52BVA Cantidad: 10 unidades
AZUL 38BVA Cantidad: 30 unidades
AZUL 25BVA Cantidad: 5 unidades
AZUL 66MVA Cantidad: 5 unidades
AZUL 53MVA Cantidad: 10 unidades
ROJO 20BVA Cantidad: 30 unidades
ROJO 36NVA Cantidad: 8 unidades
VINOTINTO 19BVA Cantidad: 30 unidades
FUCSIA 27FVA Cantidad: 10 unidades
FUCSIA 53FVA Cantidad: 5 unidades
NARANAJA 41BVA Cantidad: 20 unidades
NEGRO Cantidad: 60 unidades
VERDE 88KAV Cantidad: 8 unidades
VERDE 65LVA Cantidad: 5 unidades
VERDE 42LVA Cantidad: 30 unidades
VERDE 45BVA Cantidad: 5 unidades
MORADO 68NVA Cantidad: 8 unidades
MORADO 47JVA Cantidad: 5 unidades
MORADO 75NBA Cantidad: 5 unidades
MORADO 03JVA Cantidad: 5 unidades
GRIS 63BVA Cantidad: 30 unidades
GRIS 36BVA Cantidad: 8 unidades
 Calibre: 20. Cono 250mts</t>
  </si>
  <si>
    <t xml:space="preserve">Hilo Nylon calibre 40 </t>
  </si>
  <si>
    <t>Hilo de nylon lubricado hecho de filamento continuo de nylon 6.6 preestabilizado. Tiene un acabado suave de baja fricción que reduce los efectos del calor de la aguja y ofrece una excelente resistencia a la abrasión. Colores
AMARILLO 27BVA Cantidad: 30 unidades
AMARILLO 60BVA Cantidad: 5 unidades
AMARILLO 33HVA Cantidad: 5 unidades
MOSTAZA 52BVA Cantidad: 10 unidades
AZUL 38BVA Cantidad: 30 unidades
AZUL 25BVA Cantidad: 5 unidades
AZUL 66MVA Cantidad: 5 unidades
AZUL 53MVA Cantidad: 10 unidades
ROJO 20BVA Cantidad: 30 unidades
ROJO 36NVA Cantidad: 8 unidades
VINOTINTO 19BVA Cantidad: 30 unidades
FUCSIA 27FVA Cantidad: 10 unidades
FUCSIA 53FVA Cantidad: 5 unidades
NARANAJA 41BVA Cantidad: 20 unidades
NEGRO Cantidad: 60 unidades
BEIGE 30BVA Cantidad: 50 unidades
BEIGE 12BVA Cantidad: 8 unidades
VERDE 88KAV Cantidad: 8 unidades
VERDE 65LVA Cantidad: 5 unidades
VERDE 42LVA Cantidad: 30 unidades
VERDE  45BVA Cantidad: 5 unidades
MORADO 68NVA Cantidad: 8 unidades
MORADO 47JVA Cantidad: 5 unidades
MORADO 75NBA Cantidad: 5 unidades
MORADO 03JVA Cantidad: 5 unidades
GRIS 63BVA Cantidad: 30 unidades
GRIS 36BVA Cantidad: 8 unidades
CAFÉ 48BVA Cantidad: 40 unidades
CAFÉ 68DVA Cantidad: 20 unidades
CAFÉ 28 BVA Cantidad: 10 unidades
 Calibre: 40. Cono 500mts</t>
  </si>
  <si>
    <t>Lili bisuteria</t>
  </si>
  <si>
    <t xml:space="preserve">Hilo Nylon calibre 60 </t>
  </si>
  <si>
    <t>Hilo de nylon lubricado hecho de filamento continuo de nylon 6.6 preestabilizado. Tiene un acabado suave de baja fricción que reduce los efectos del calor de la aguja y ofrece una excelente resistencia a la abrasión. Colores surtidos.
AMARILLO 27BVA Cantidad: 30 unidades
AMARILLO 60BVA Cantidad: 5 unidades
AMARILLO 33HVA Cantidad: 5 unidades
MOSTAZA 52BVA Cantidad: 10 unidades
AZUL 38BVA Cantidad: 30 unidades
AZUL 66MVA Cantidad: 5 unidades
AZUL 53MVA Cantidad: 8 unidades
ROJO 20BVA Cantidad: 30 unidades
ROJO 36NVA Cantidad: 8 unidades
VINOTINTO 19BVA Cantidad: 30 unidades
FUCSIA 27FVA Cantidad: 10 unidades
FUCSIA 53FVA Cantidad: 5 unidades
NARANAJA 41BVA Cantidad: 10 unidades
VERDE 42LVA Cantidad: 10 unidades
VERDE  45BVA Cantidad: 8 unidades
MORADO 68NVA Cantidad: 8 unidades
MORADO 47JVA Cantidad: 5 unidades
MORADO 75NBA Cantidad: 5 unidades
Calibre: 60. Cono 700mts</t>
  </si>
  <si>
    <t>Hilo Nylon calibre 10</t>
  </si>
  <si>
    <t>Hilo de nylon lubricado hecho de filamento continuo de nylon 6.6 preestabilizado. Tiene un acabado suave de baja fricción que reduce los efectos del calor de la aguja y ofrece una excelente resistencia a la abrasión. Colores
 Calibre: 10. Cono 2000 mt
COLORES: NEGRO, BEIGE, ROJO, AZUL INDIGO,CAFE,MOSTAZA, VERDE MILITAR</t>
  </si>
  <si>
    <t>Temu</t>
  </si>
  <si>
    <t>Sellafix</t>
  </si>
  <si>
    <t>Producto diseñado para rellenar las superficies con muchos poros o ásperas. Sirve de puente para nivelar en materiales pegados de diferente textura. Prepara los materiales para aplicar la tinta marroquinera. Colores disponibles: Neutro. Presentación: Frasco de 250 cc</t>
  </si>
  <si>
    <t>Frascos</t>
  </si>
  <si>
    <t>Tinta Marroquinera</t>
  </si>
  <si>
    <t>Varsol</t>
  </si>
  <si>
    <t>Mezcla de hidrocarburos alifáticos derivados del petróleo, químicamente estable y no corrosivo. Excelente producto para la limpieza y mantenimiento de pisos y superficies en general, gracias a su alto poder desengrasante. Quita manchas en prendas de algodón, nylon y fibras sintéticas. Sin olor. Presentacion garrafa por 3785 ml o 4000 ml.</t>
  </si>
  <si>
    <t>g</t>
  </si>
  <si>
    <t>Mega aseo</t>
  </si>
  <si>
    <t xml:space="preserve">Limpiador para acabados </t>
  </si>
  <si>
    <t>VZ40 producto elaborado con base en hidrocarburos, miscible con la mayoría de solventes utilizados a nivel industrial y poco soluble en agua. Es un líquido de aspecto transparente y con olor característico. Recomendado en el proceso de terminado de calzado para la limpieza de materiales sintéticos, cueros naturales, y otros materiales del calzado con residuos de adhesivos e impurezas del proceso de armado.</t>
  </si>
  <si>
    <t>historico 2025</t>
  </si>
  <si>
    <t>Superficies de golpe</t>
  </si>
  <si>
    <t>Superficie polimerica utilizada para soportar el  perforado de piezas en  cuero u otros materiales similares. Tamaño 15 cm x 15 cm</t>
  </si>
  <si>
    <t>Tijeras para marroquinería tipo mariposa grande</t>
  </si>
  <si>
    <t>Ebuy7</t>
  </si>
  <si>
    <t>Cinta Métrica sastreria 100 cm</t>
  </si>
  <si>
    <t>Una cinta métrica o simplemente metro es un instrumento de medida que consiste en una cinta flexible graduada y que se puede enrollar, haciendo que el transporte sea más fácil.
También con ella se pueden medir líneas y superficies curvas.
Material muy flexible que se adapta a las prendas de vestir durante el proceso de confección</t>
  </si>
  <si>
    <t>Lamina</t>
  </si>
  <si>
    <t xml:space="preserve">Horma en madera con curvatura de redio 50 mm </t>
  </si>
  <si>
    <t>Herramienta para ahormar piezas de cuero.
molde fijo para dar curvatura al cuero es una herramienta profesional hecha a mano.
Medidas: Radio 50 mm
Ancho 100 mm - Alto 120 mm - profundidad 100 mm</t>
  </si>
  <si>
    <t>Aliexpress</t>
  </si>
  <si>
    <t>Cinta de enmascarar de 1 pulgada</t>
  </si>
  <si>
    <t xml:space="preserve">cinta de papel crepé rentable que sujeta, agrupa, sella y realiza otros trabajos de grabación no críticos donde se necesita una cinta sensible a la presión. Esta cinta ofrece un desenrollado controlado para evitar triturar o astillarse y rasgarse fácilmente del rollo con la mano. de 1 pulgada </t>
  </si>
  <si>
    <t>Ferreteria jamundi</t>
  </si>
  <si>
    <t>Cinta doble faz poliester</t>
  </si>
  <si>
    <t>Cinta doble cara no tejido y  adhesivo acrilico Cinta adhesiva doble cara con adhesivo caucho sintético libres de plastificantes y protector de papel “glassine” amarillo siliconado en ambas caras. Alta pegajosidad inicial. Buenos valores de cohesión. Soporte de extrema conformabilidad sobre las superficies de aplicación. Elevada masa adhesiva. 10mm de ancho.</t>
  </si>
  <si>
    <t>Panafargo</t>
  </si>
  <si>
    <t>Cinta Nylon</t>
  </si>
  <si>
    <t>Cinta  poliamida de alta tenacidad Nylon mono adhesiva con soporte de tela de poliamida de alta tenacidad. Diseñado y utilizado sobre todo en la industria de la marroquinería por su gran resistencia al desgarre, resistencia a la carga de rotura y la estructura especial que ofrece la mejor resistencia al deslizamiento de las costuras. Ancho: 10mm. Presentación: Rollo</t>
  </si>
  <si>
    <t>Capitalcolombia</t>
  </si>
  <si>
    <t>Su núcleo de PVC o goma les da durabilidad y resistencia al corte. </t>
  </si>
  <si>
    <t>Easy</t>
  </si>
  <si>
    <t>Maniquie masculino talla 38</t>
  </si>
  <si>
    <t>Maniquie de busto basico masculino para confeccion, tapizado en tela dril negra, con cintas de demarcacion para patronaje, base redonda en acero para graduar en altura, talla 38, tapa para cuello decorativa en madera, producido en Colombia.</t>
  </si>
  <si>
    <t>Maré</t>
  </si>
  <si>
    <t>Maniquie femenino talla 10</t>
  </si>
  <si>
    <t>Maniquie de busto basico femenino para confeccion, tapizado en tela dril negra, con cintas de demarcacion para patronaje, base redonda en acero para graduar en altura, talla 10, tapa para cuello decorativa en madera, producido en Colombia.</t>
  </si>
  <si>
    <t>Destornilladores Juego  de Precisión x6Pzs</t>
  </si>
  <si>
    <t xml:space="preserve"> Ideal para trabajos de relojería y otras tareas que requieren tornillos pequeños, te ofrece la herramienta perfecta para un trabajo profesional. Su mango ergonómico antideslizante y su diseño práctico te permitirán trabajar con comodidad y eficiencia, 
Especificaciones principales
Contenido del Juego (6 Piezas)
El set se divide equitativamente entre puntas planas y puntas de cruz (Phillips), identificadas visualmente por el color del cabezal giratorio:
3 Destornilladores de Pala / Planos (Identificados en Amarillo):
4.0 x 75mm: El más ancho, para tornillos de caja o piezas externas.
3.0 x 75mm: Tamaño intermedio.
2.0 x 75mm: El más fino de los planos, ideal para mecanismos internos.
3 Destornilladores de Cruz / Phillips (Identificados en Rojo):
PH1 (No.1 x 75mm): Tamaño estándar para electrónica.
PH0 (No.0 x 75mm): Punta pequeña.
PH00 (No.00 x 75mm): Punta extra fina para los tornillos más diminutos.
Características de Diseño
Ergonomía: El mango tiene un cuerpo bi-material (negro y blanco) con una textura antideslizante de puntos en la zona de agarre. Esto permite aplicar torque con precisión sin que los dedos resbalen.
Cabezal Giratorio: La parte superior (amarilla/roja) es móvil. Esto permite apoyar la palma de la mano o el dedo índice para mantener presión constante mientras se gira el cuerpo del destornillador con los otros dedos, una característica esencial en relojería.
Vástago Largo: Con 75mm de largo, estos destornilladores facilitan el acceso a tornillos que están en cavidades profundas, algo común en ciertos dispositivos electrónicos.
Identificación Rápida: Cada herramienta tiene impreso el tamaño y el tipo de punta en el mango, además del código de colores, lo que ahorra tiempo al buscar la herramienta correcta.
Juego x 6 unidades</t>
  </si>
  <si>
    <t>Kit</t>
  </si>
  <si>
    <t>kit x 6 unidades</t>
  </si>
  <si>
    <t>Falabella</t>
  </si>
  <si>
    <t>Horma en madera con radios en cada arista-  3 ángulos, 10/12/15MM</t>
  </si>
  <si>
    <t xml:space="preserve">Herramienta para ahormar piezas de cuero.
molde fijo para dar curvatura al cuero es una herramienta profesional hecha a mano para artesanías en cuero, cada lado de la horma tiene un radio.
 3 ángulos en cada arista:  10/12/15MM
</t>
  </si>
  <si>
    <t>Juego</t>
  </si>
  <si>
    <t>Aliespress</t>
  </si>
  <si>
    <t>Adhesivo cloropreno base agua de alto desempeño.</t>
  </si>
  <si>
    <t>Adhesivo acuoso de alto desempeño a base de dispersiones cloropreno,resinas y aditivos. Contiene una alta concentración de ingredientes activos que garantizan excelente fuerza de adhesión. Diseñado para unir espumas, fibras y telas. Puede utilizarse en una amplia variedad de aplicaciones en materiales como madera y plástico.Viscosidad Brookfield (70 ± 50) cP.Contenidos de sólidos (49 ± 2) %. Densidad (4.1 – 4.3) Kg/galón, pH (25°C) 9.5 ± 0.5 Rendimiento De 3 a 4 veces más que un cemento de contacto base solvente. Apariencia Húmedo: líquido blanco.
Seco: Película transparente</t>
  </si>
  <si>
    <t>k</t>
  </si>
  <si>
    <t>1 kilo</t>
  </si>
  <si>
    <t>IVCO</t>
  </si>
  <si>
    <t>Frasco dosificador de punta cónica</t>
  </si>
  <si>
    <t>Frasco aplicador con dosificador diseñados para un flujo de líquido un poco más generoso, pero igualmente controlado.
Diseño y Estructura
Variedad de Tamaños: El set presenta cinco frascos de capacidades progresivas, dispuestos de menor a mayor tamaño.
Cuerpo Transparente: A diferencia de los anteriores que eran opacos/translúcidos, estos son de un plástico cristalino (tipo PET), lo que permite una visibilidad total y brillante del contenido.
Boquilla Cónica: Cuentan con una tapa de rosca blanca que termina en una punta alargada de plástico. Esta punta suele ser recortable para ajustar el grosor del flujo según la densidad del líquido.
Capacidad: 100-120 Ml</t>
  </si>
  <si>
    <t>Metros</t>
  </si>
  <si>
    <t>Exito</t>
  </si>
  <si>
    <t>Cinta adhesiva raso para gabarit x 6 unidades</t>
  </si>
  <si>
    <t>Cinta de raso (satén) extra fina que cuenta con un adhesivo en la cara posterior.
Ancho: 3 mm (1/8 de pulgada). Es muy delgada para que no abulte el diseño, pero lo suficientemente visible para marcar rutas.
Material: Raso de poliéster. Tiene un brillo sutil que ayuda a ver las líneas de diseño bajo diferentes luces.
Adhesivo: Debe ser de baja o media adherencia; tiene que pegarse bien al tejido del maniquí, pero no debe dejar residuos de pegamento ni dañar la tela cuando la quites o la reposiciones. 
Presentación: rollo 30 metros.
Colores: negro y rojo</t>
  </si>
  <si>
    <t>Juego de reglas para diseño de modas y patronaje</t>
  </si>
  <si>
    <t>Juego de 4 piezas en material acrilico transparente lo que te permite ver las líneas anteriores del dibujo.
Cada regla viene en cm
Contenido:
La Regla L (Escuadra de Sastre)
Regla Sastre (Sable o Curva de Cadera)
Sisa o Curva Francesa (Pistolete)
Regla Multifuncional (Regla de Modista)
Material:  Acrílico Transparente o Plástico Flexible, numeros impresos por dentro del material.</t>
  </si>
  <si>
    <t>El adorno merceria</t>
  </si>
  <si>
    <t>Galgas calibradora metalica de puntadas</t>
  </si>
  <si>
    <t>Mide puntadas, costuras, espacios de agujas, recortes y cordones de 1/16" a 1". Hecho de acero inoxidable de calibre pesado.
Material: acero inoxidable</t>
  </si>
  <si>
    <t>Lamina adornos</t>
  </si>
  <si>
    <t>Regla metálica de 15cm</t>
  </si>
  <si>
    <t>Regla para usos generales de medición, graduada en milímetros, centímetros y pulgadas con números foto grabados mediante un proceso de alta precisión para facilitar la lectura y visibilidad. El 0 está situado al inicio de la regla. Material: acero inoxidable de alta calidad. Grosor:1 mm. Tamaño:15cm</t>
  </si>
  <si>
    <t>Ferreco</t>
  </si>
  <si>
    <t>Soelco</t>
  </si>
  <si>
    <t>Regla metálica de 100cm</t>
  </si>
  <si>
    <t>Regla para usos generales de medición, graduada en milímetros, centímetros y pulgadas con números foto grabados mediante un proceso de alta precisión para facilitar la lectura y visibilidad. El 0 está situado al inicio de la regla. Material: acero inoxidable de alta calidad. Grosor: 1 mm. Tamaño:100cm</t>
  </si>
  <si>
    <t>Mercacolegios</t>
  </si>
  <si>
    <t>Regla metálica de 30cm</t>
  </si>
  <si>
    <t>Regla para usos generales de medición, graduada en milímetros, centímetros y pulgadas con números foto grabados mediante un proceso de alta precisión para facilitar la lectura y visibilidad. El 0 está situado al inicio de la regla. Material: acero inoxidable de alta calidad. Grosor: 0,9mm. Tamaño:30cm</t>
  </si>
  <si>
    <t>Aztools.co</t>
  </si>
  <si>
    <t>Regla metálica de 50cm</t>
  </si>
  <si>
    <t>Regla para usos generales de medición, graduada en milímetros, centímetros y pulgadas con números foto grabados mediante un proceso de alta precisión para facilitar la lectura y visibilidad. El 0 está situado al inicio de la regla. Material: acero inoxidable de alta calidad. Grosor:1 mm. Tamaño:50cm</t>
  </si>
  <si>
    <t>Papeleria marin</t>
  </si>
  <si>
    <t>Goma de caucho</t>
  </si>
  <si>
    <t>Hecha de caucho natural virgen; tiene una textura elástica, rugosa y algo pegajosa al tacto.
Su función principal es la limpieza mecánica.
Material: Caucho natural (látex procesado).
Textura: Flexible pero firme. No se desmorona como una goma de borrar común, sino que atrapa el pegamento por fricción.
Color: Blanca
Presentación: rectangular de 14 x 10 cm.</t>
  </si>
  <si>
    <t>Punzon con mango de madera cónico</t>
  </si>
  <si>
    <t xml:space="preserve">Herrmienta para marcar, con punta extremadamente fina y pulida para no desgarrar las fibras del cuero. Presenta un mango ergonómico de madera clara, diseñado con una forma de pera alargada. Esta geometría permite que el mango se apoye cómodamente en el hueco de la palma, facilitando el control y la presión sin generar fatiga. La punta es de acero  con un acabado cromado o pulido espejo. Su forma es totalmente cónica y redonda, lo que significa que no tiene filos laterales.
Medidas: 
Largo Total: 115 mm y 130 mm.
Largo de la Aguja: Suele medir entre 55 mm y 65 mm.
</t>
  </si>
  <si>
    <t>casa de los cordones</t>
  </si>
  <si>
    <t>Perforadores/sacabocados</t>
  </si>
  <si>
    <t>Sacabocados de golpe (también conocidos como perforadores huecos). Son herramientas de corte esenciales en marroquinería para realizar agujeros limpios y precisos de forma manual.
Cuerpo Cilíndrico: Están fabricados en acero endurecido o acero al carbono para soportar los impactos repetidos de un mazo.
Boca de Expulsión Lateral: Todos presentan una apertura u "ojal" en un costado del cilindro. Su función es permitir que los residuos de cuero (los pequeños círculos sobrantes) salgan de la herramienta y no se obstruya el corte.
Material: Acero y muy afilados
Medidas:
 #1: 100 unidades
#2: 100 unidades
#3: 100 unidades
#4: 100 unidades
#5: 100 unidades</t>
  </si>
  <si>
    <t>Martillo marroquinero</t>
  </si>
  <si>
    <t>diseñado específicamente para trabajos de precisión donde se necesita controlar el golpe sin dañar el material (cuero o piel).
1. Cabeza de Acero Pulido
La cabeza suele ser de acero endurecido y se caracteriza por tener dos caras distintas para diferentes tareas:
Cara Plana (Cilíndrica): Se utiliza para golpear sacabocados, cinceles o para asentar costuras. Su superficie lisa evita dejar marcas profundas en el cuero.
Cara Redondeada o de Bola: Es ideal para dar forma al cuero, suavizar bordes o golpear en áreas donde una cara plana podría cortar la fibra del material.
2. Cuello Estrecho
A diferencia de un martillo de carpintero, el cuello donde se une la cabeza con el mango es más delgado. Esto permite un equilibrio superior, permitiendo que el artesano use el peso de la cabeza para el golpe sin necesidad de aplicar mucha fuerza manual.
3. Mango Ergonómico
El mango que se observa en la imagen es de material sintético (posiblemente caucho o plástico de alto impacto) con texturas antideslizantes.
Agarre: Diseñado para absorber la vibración y evitar la fatiga en jornadas largas de trabajo.
Forma: Su base más ancha ayuda a que no se deslice de la mano al realizar golpes repetitivos.</t>
  </si>
  <si>
    <t xml:space="preserve">Envase aplicadores de precisión, diseñados para trabajos detallados que requieren un flujo controlado de líquidos.
Envases cilíndricos, alargados y translúcidos, lo que permite ver fácilmente el nivel del contenido y el color del líquido en su interior. Están fabricados de un plástico flexible (polietileno) que facilita el apretarlos para dosificar.
Punta de Precisión:cuenta con una aguja metálica delgada integrada en la tapa. Esto es ideal para aplicar pegamentos, tintas, aceites o pinturas en áreas muy pequeñas o difíciles de alcanzar.
Tapón Protector: Incluyen una tapa de silicona transparente unida a la base de la boquilla mediante una tira de plástico, lo que evita que el tapón se pierda y mantiene la punta sellada para que el contenido no se seque ni se derrame.
Contenido: 30 ml 
</t>
  </si>
  <si>
    <t>Aplicador de tinta manual especial para cantos de cuero y otros.</t>
  </si>
  <si>
    <t xml:space="preserve">Aplicador de tinta manual especial para cantos de cuero y otros: Bolígrafo de pintura para manualidades de cuero. La  zanja en la punta cónica (bronce) ayuda a recoger la pintura, rueda a medida que avanzas por el borde del cuero mientras pintas, cabo  en forma de cilindro en aluminio y eje de aluminio.
Componentes: Cabezal Giratorio (Punta):
Tiene un diámetro de 0.6 cm (0.23 in) y un largo de 2 cm (0.78 in).
Presenta una textura moleteada (diamantada). Esta rugosidad es fundamental porque permite que la pintura se "aloje" en los surcos y se distribuya de manera constante al rodar sobre el borde del cuero.
Eje de Conexión: Un cuello delgado de metal que separa el cabezal del mango, permitiendo una visibilidad clara del área de trabajo mientras aplicas el tinte.
Cuerpo y Mango:
El largo total de la herramienta es de 16.3 cm (6.41 in).
El mango es de color negro con un diseño ergonómico de relieves circulares que facilitan el agarre y evitan que la mano resbale durante el movimiento de precisión.
Cuenta con un anillo superior de latón que refuerza la unión entre el eje y el mango.
Medidas: 16.3 cm
</t>
  </si>
  <si>
    <t>Envase tipo tempera</t>
  </si>
  <si>
    <t>Envase  de polipropileno, generalmente transparentes, con tapa rosca de seguridad para evitar derrames. 
Tipo tempera x 30 ml en polipropileno con tapa rosca.</t>
  </si>
  <si>
    <t>Soloenvases</t>
  </si>
  <si>
    <t>Duque saldarriaga</t>
  </si>
  <si>
    <t>Cera De Abejas 100% Natural Sin Refinar Certificada 500 Gr</t>
  </si>
  <si>
    <t>Materia prima 100% natural. Se obtiene por fusión con agua caliente de las paredes del panal construido por la abeja Apis mellifera L., después de extraída la miel, y posterior purificación. Contiene un 70 – 75 % de ésteres de alcoholes de cadena lineal C24 a C36 (pares) con ácidos de cadena lineal de hasta C36 así como hidroxiácidos C18. El componente mayoritario es el palmitato de miricilo. También contiene ácidos libres, carbohidratos, alcoholes grasos libres, y ésteres esteáricos de ácidos grasos. Se trata de un agente de consistencia usado en formulaciones tópicas como espesante y endurecedor de cremas y pomadas, permitiendo además la incorporación de agua en el caso de las emulsiones W/O.</t>
  </si>
  <si>
    <t>Papel foil de 64 cm</t>
  </si>
  <si>
    <t xml:space="preserve">Papel  para estampado en caliente para cuero, PVC, rollo de 64Cm ancho x 120 metros 
Colores y cantidasd
Oro brillante estandar : 1 unidad
Rainwo azul: 1 unidad
Fibra de carbono rosa: 1 unidad
</t>
  </si>
  <si>
    <t>Alibaba</t>
  </si>
  <si>
    <t>Royo foils</t>
  </si>
  <si>
    <t>Kit Cautin Profesional Tipo Lápiz Temperatura Ajustable Digital 110v - 80w</t>
  </si>
  <si>
    <t>Cautín eléctrico de precisión con control digital de temperatura, una herramienta versátil que, aunque se origina en la electrónica, ha ganado mucha popularidad en la marroquinería artesanal para tareas de pirograbado y transferencia de calor.
Sistema de Control y Pantalla:
A diferencia de los cautines tradicionales de temperatura fija, este modelo integra la tecnología en el mango:
Pantalla LCD/LED: Ubicada en el centro del mango, muestra la temperatura actual en tiempo real (generalmente en grados Celsius o Fahrenheit).
Botones de Ajuste (+/-): Permiten subir o bajar el calor de grado en grado o en rangos de diez, lo que es vital para no quemar cueros delicados.
Botón de Encendido/Set: Un botón rojo superior que permite prender el equipo o confirmar la temperatura deseada.
Ergonomía y Construcción
Mango Aislante: Fabricado en materiales polímeros resistentes al calor, con una sección de goma gris antideslizante cerca de la punta para mejorar la precisión del trazo y proteger los dedos del calor.
Punta Intercambiable: Utiliza un sistema de rosca con una tuerca metálica que permite cambiar la punta de forma rápida. Aunque la imagen muestra una punta fina tipo aguja, este modelo suele ser compatible con puntas de latón para fileteado o marcado de bordes.
Cuerpo de Calentamiento: La sección metálica entre el mango y la punta contiene una resistencia cerámica interna que permite alcanzar la temperatura seleccionada en muy pocos segundos.
Especificaciones Técnicas Visibles
Rango de Temperatura: Estos modelos suelen operar entre los 180°C y 480°C.
Potencia: Generalmente son de 60W a 80W, suficiente para mantener el calor constante incluso al deslizarlo sobre cueros gruesos.
Conexión: Incluye un cable reforzado con un protector de tensión en la base del mango para evitar fracturas internas por el movimiento constante.
Conexion: 110  -80  Voltios</t>
  </si>
  <si>
    <t>Electrosena</t>
  </si>
  <si>
    <t>Quemador de hilos</t>
  </si>
  <si>
    <t>Esta innovadora herramienta, recorta, quema o derrite los hilos, la punta extrafina se calienta instantáneamente con solo presionar el botón lo cual permite que la aplicación sea precisa, el cuál es ideal para terminar proyectos de tejidos, es inalambrico funciona con pilas AA,La punta se calienta al instante con la presión de un botón! Puede calentarse hasta unos 700 grados F/371 grados C en cuestión de 2-3 segundos.la punta del filamento hace que se queme incluso en los hilos y nudos más finos.</t>
  </si>
  <si>
    <t>Cremallera poliester #8</t>
  </si>
  <si>
    <t>Susherrajes</t>
  </si>
  <si>
    <t>Deslizador metálico para cadena continua No.8, sin bloqueo, libre con facilidad para abrir y cerrar porque no dispone de mecanismos de cierre. Acabado níquel.
Tamaño No.8</t>
  </si>
  <si>
    <t xml:space="preserve">Llave sencilla oro para cierre nylon  No. 8
</t>
  </si>
  <si>
    <t>Distriherrajes</t>
  </si>
  <si>
    <t>Llave sencilla niquel para cierre nylon  No. 8</t>
  </si>
  <si>
    <t xml:space="preserve">"Deslizador metálico para cadena continua No.8, sin bloqueo, libre con facilidad para abrir y cerrar porque no dispone de mecanismos de cierre. Acabado oro.
Tamaño No.8"
</t>
  </si>
  <si>
    <t>sus herrajes</t>
  </si>
  <si>
    <t>Llave de lujo oro para cremallera de nylon No.6</t>
  </si>
  <si>
    <t>Deslizador vaciado en zamak para cremallera continua de nylon No.6.  Acabado oro perfectamente pulido, apariencia brillante.Diseño de la paleta según tendencias de moda.</t>
  </si>
  <si>
    <t>Llave de lujo niquel para cremallera de nylon No.3</t>
  </si>
  <si>
    <t>Deslizador vaciado en zamak para cremallera continua de nylon No.3.  Acabado níquel perfectamente pulido, apariencia brillante. Diseño de la paleta según tendencias de moda.</t>
  </si>
  <si>
    <t>Historico 2025</t>
  </si>
  <si>
    <t>Llave de lujo oro para cremallera de nylon No.3</t>
  </si>
  <si>
    <t>Deslizador vaciado en zamak para cremallera continua de nylon No.3.  Acabado oro perfectamente pulido, apariencia brillante.</t>
  </si>
  <si>
    <t>Llave sencilla oro para cremallera de nylon No.3</t>
  </si>
  <si>
    <t>Deslizador metálico para cadena continua No.3, sin bloqueo, libre con facilidad para abrir y cerrar porque no dispone de mecanismos de cierre. Acabado oro.
Tamaño No.3</t>
  </si>
  <si>
    <t>Llave sencilla niquel para cremallera de nylon No 3</t>
  </si>
  <si>
    <t>Deslizador metálico para cadena continua No.3, sin bloqueo, libre con facilidad para abrir y cerrar porque no dispone de mecanismos de cierre. Acabado niquel.
Tamaño No.3</t>
  </si>
  <si>
    <t>La mina</t>
  </si>
  <si>
    <t>Argolla mosquetón lujo oro 25mm</t>
  </si>
  <si>
    <t>Argolla redonda con apertura de bloqueo elaborada en zamac maciza, liviana, de alta resistencia a la corrosión.
Diseño de clip de resorte, liberación rápida. Fácil de operar con el muelle incorporado. Apariencia brillante.Medidas (Milímetros): Diámetro interno: 25mm
Acabado Oro</t>
  </si>
  <si>
    <t>Mi laneria</t>
  </si>
  <si>
    <t>Argolla mosquetón lujo oro 12 mm</t>
  </si>
  <si>
    <t xml:space="preserve">Argolla redonda con apertura de bloqueo elaborada en zamac maciza, liviana, de alta resistencia a la corrosión.
Diseño de clip de resorte, liberación rápida. Fácil de operar con el muelle incorporado. Apariencia brillante.Medidas (Milímetros): Diámetro interno: 12 mm
Acabado Oro, niquel. REQUIERE MUESTRA </t>
  </si>
  <si>
    <t>Broche iman pequeño 10mm</t>
  </si>
  <si>
    <t>Cierre de dos piezas que utiliza la fuerza magnética para mantener unidos los compartimentos de una pieza de cuero. Son metálicos de alta resistencia  con acabados metalizados.
1. Macho: La parte con un pequeño relieve o "botón" central.
1. Hembra: La parte con un orificio o cavidad donde se aloja el imán. Es la pieza que suele ejercer la fuerza de atracción.
2. Contra-piezas (2): Dos arandelas metálicas planas con ranuras que sirven de refuerzo por el revés del cuero para asegurar las patas de las piezas principales.
Material: Acero
Acabado:
Pavon
Niquel
Oro</t>
  </si>
  <si>
    <t>Broche iman mediano 14mm</t>
  </si>
  <si>
    <t>Deslizadores zapaticos</t>
  </si>
  <si>
    <t xml:space="preserve">
Tornillo Gemelo o pirigallo</t>
  </si>
  <si>
    <t>Broche torniquete zamac lujo acabado oro</t>
  </si>
  <si>
    <t>Herraje en zamak con acabado perfectamente listo de alta calidad para la apertura y cierre de bolsos. 
Está compuesto por una pieza macho con hebilla de bloqueo giratorio y una hembra donde se encaja. Las piezas se sujetan al bolso con tornillos. 
Acabado: Oro</t>
  </si>
  <si>
    <t>Broche torniquete zamac lujo acabado níquel</t>
  </si>
  <si>
    <t>Herraje en zamak con acabado perfectamente listo de alta calidad para la apertura y cierre de bolsos. 
Está compuesto por una pieza macho con hebilla de bloqueo giratorio y una hembra donde se encaja. Las piezas se sujetan al bolso con tornillos.
Acabado: Níquel</t>
  </si>
  <si>
    <t>Broche torniquete zamak lujo acabado pabón</t>
  </si>
  <si>
    <t>Herraje en zamak con acabado perfectamente listo de alta calidad para la apertura y cierre de bolsos. 
Está compuesto por una pieza macho con hebilla de bloqueo giratorio y una hembra donde se encaja. Las piezas se sujetan al bolso con tornillos. 
Acabado: Pavón</t>
  </si>
  <si>
    <t>Cuadrantes de 25mm zamak acabado niquel</t>
  </si>
  <si>
    <t>Argolla  cerrada rectangular en zamak con alta calidad de terminación. Diámetro interno 25mm.  Acabado níquel.</t>
  </si>
  <si>
    <t xml:space="preserve">Temu </t>
  </si>
  <si>
    <t>Cuadrantes de 25mm zamak acabado oro</t>
  </si>
  <si>
    <t>Argolla  cerrada rectangular en zamak con alta calidad de terminación. Diámetro interno 25mm.  Acabado oro.</t>
  </si>
  <si>
    <t>Cuadrantes de 25mm zamak acabado pabón</t>
  </si>
  <si>
    <t>Argolla  cerrada rectangular en zamak con alta calidad de terminación. Diámetro interno 25mm.  Acabado pavonado</t>
  </si>
  <si>
    <t>Gajes del oficio</t>
  </si>
  <si>
    <t>Trabilla con pasador fijo 25mm zamak níquel</t>
  </si>
  <si>
    <t>Cuadro o rectángulo con una pieza interna fija a los laterales que sirve como  regulador del paso de la correa. Elaborada en zamak finamente pulido.  Acabado: Níquel. Tamaño: 25mm.</t>
  </si>
  <si>
    <t>Trabilla con pasador fijo 25mm zamak pavon</t>
  </si>
  <si>
    <t>Cuadro o rectángulo con una pieza interna fija a los laterales que sirve como  regulador del paso de la correa. Elaborada en zamak finamente pulido.  Acabado:pavonado. Tamaño: 25mm.</t>
  </si>
  <si>
    <t>Trabilla con pasador fijo 25mm zamak Oro</t>
  </si>
  <si>
    <t>Cuadro o rectángulo con una pieza interna fija a los laterales que sirve como  regulador del paso de la correa. Elaborada en zamak finamente pulido.  Acabado: Oro. Tamaño: 25mm.</t>
  </si>
  <si>
    <t>Trabilla con pasador fijo 38mm zamak Níquel</t>
  </si>
  <si>
    <t>Cuadro o rectángulo con una pieza interna fija a los laterales que sirve como  regulador del paso de la correa. Elaborada en zamak finamente pulido.  Acabado: Níquel. Tamaño: 38mm.</t>
  </si>
  <si>
    <t>Trabilla con pasador fijo 38mm zamak Pavon</t>
  </si>
  <si>
    <t>Cuadro o rectángulo con una pieza interna fija a los laterales que sirve como  regulador del paso de la correa. Elaborada en zamak finamente pulido.  Acabado:pavonado. Tamaño: 38mm.</t>
  </si>
  <si>
    <t>Trabilla con pasador fijo 38mm zamak Oro</t>
  </si>
  <si>
    <t>Cuadro o rectángulo con una pieza interna fija a los laterales que sirve como  regulador del paso de la correa. Elaborada en zamak finamente pulido.  Acabado: Oro. Tamaño: 38mm.</t>
  </si>
  <si>
    <t>Cuadrantes de 38mm zamak acabado zamak niquel</t>
  </si>
  <si>
    <t>Argolla  cerrada rectangular en zamak con alta calidad de terminación. Diámetro interno 38mm.  Acabado níquel.</t>
  </si>
  <si>
    <t>Cuadrantes de 38mm zamak acabado oro</t>
  </si>
  <si>
    <t>Argolla  cerrada rectangular en zamak con alta calidad de terminación. Diámetro interno 38mm.  Acabado oro.</t>
  </si>
  <si>
    <t>Cuadrantes de 38mm zamak acabado pabón</t>
  </si>
  <si>
    <t>Argolla  cerrada rectangular en zamak con alta calidad de terminación. Diámetro interno 38mm.  Acabado pavonado</t>
  </si>
  <si>
    <t>Hebillas de 25mm zamak acabado niquel</t>
  </si>
  <si>
    <t>Hebilla sencilla sin pasador, un solo hebijón,  elaborada en zamak finamente pulido, sin imperfecciones en la superficie. Acabado: níquel Tamaño:25mm</t>
  </si>
  <si>
    <t>Hebillas de 25mm zamak acabado pavon</t>
  </si>
  <si>
    <t>Hebilla sencilla sin pasador, un solo hebijón,  elaborada en zamak finamente pulido, sin imperfecciones en la superficie. Acabado: pavonado. Tamaño:25mm</t>
  </si>
  <si>
    <t>Hebillas de 25mm zamak acabado oro</t>
  </si>
  <si>
    <t>Hebilla sencilla sin pasador, un solo hebijón,  elaborada en zamak finamente pulido, sin imperfecciones en la superficie. Acabado: oro Tamaño:25mm</t>
  </si>
  <si>
    <t>Hebilla sencilla sin pasador, un solo hebijón,  elaborada en zamak finamente pulido, sin imperfecciones en la superficie. Acabado: pavonado Tamaño:25mm</t>
  </si>
  <si>
    <t>Hebilla para cinturones de 38mm zamak níquel</t>
  </si>
  <si>
    <t>Hebilla sencilla sin pasador, un solo hebijón,  elaborada en zamak finamente pulido, sin imperfecciones en la superficie. Acabado: níquel mate. Tamaño:38mm</t>
  </si>
  <si>
    <t>Hebilla para cinturones de 38mm zamak pavon</t>
  </si>
  <si>
    <t>Hebilla sencilla sin pasador, un solo hebijón,  elaborada en zamak finamente pulido, sin imperfecciones en la superficie. Acabado: pavonado . Tamaño:38mm</t>
  </si>
  <si>
    <t>Hebilla para cinturones de 38mm zamak oro</t>
  </si>
  <si>
    <t>Hebilla sencilla sin pasador, un solo hebijón,  elaborada en zamak finamente pulido, sin imperfecciones en la superficie. Acabado: oro mate. Tamaño:38mm</t>
  </si>
  <si>
    <t>Ojalete de lujo con tornillos 20mm  pabón</t>
  </si>
  <si>
    <t>Herraje en forma de anillo hueco utilizado para reforzar orificios por donde pasan cordones o cuerdas, conformado por una pieza exterior que cubre la perforación y una pieza inferior que se ajusta con tornillos. Material: zamak.  Acabado: pabonado. Tamaño: 20mm</t>
  </si>
  <si>
    <t>Ojalete de lujo con tornillos 20mm  niquel</t>
  </si>
  <si>
    <t>Herraje en forma de anillo hueco utilizado para reforzar orificios por donde pasan cordones o cuerdas, conformado por una pieza exterior que cubre la perforación y una pieza inferior que se ajusta con tornillos. Material: zamak.  Acabado: niquel. Tamaño: 20mm</t>
  </si>
  <si>
    <t>Ojalete de lujo con tornillos 20mm  oro</t>
  </si>
  <si>
    <t>Herraje en forma de anillo hueco utilizado para reforzar orificios por donde pasan cordones o cuerdas, conformado por una pieza exterior que cubre la perforación y una pieza inferior que se ajusta con tornillos. Material: zamak.  Acabado: oro. Tamaño: 20mm</t>
  </si>
  <si>
    <t>Ojalete de lujo a presión 8mm oro</t>
  </si>
  <si>
    <t>Herraje en forma de anillo hueco utilizado para reforzar orificios por donde pasan cordones o cuerdas, conformado por una pieza exterior que cubre la perforación y una pieza inferior que ajusta a presión. Material: zamak.  Acabado: oro. Tamaño: 8mm</t>
  </si>
  <si>
    <t>Remache hongo de lujo níquel</t>
  </si>
  <si>
    <t>Elemento metálico de fijación que se emplea para unir de forma permanente dos o más piezas, compuesto de una cabeza en forma de hongo con rosca y un tornillo para sujetar. Material: zamak finamente pulido.  Acabado: níquel brillante.
Numero #10</t>
  </si>
  <si>
    <t>Paquete</t>
  </si>
  <si>
    <t>Remache hongo de lujo oro</t>
  </si>
  <si>
    <t>Elemento metálico de fijación que se emplea para unir de forma permanente dos o más piezas, compuesto de una cabeza en forma de hongo con rosca y un tornillo para sujetar. Material: zamak finamente pulido.  Acabado: Oro brillante.
Numero #10</t>
  </si>
  <si>
    <t>Remache hongo de lujo pavon</t>
  </si>
  <si>
    <t>Elemento metálico de fijación que se emplea para unir de forma permanente dos o más piezas, compuesto de una cabeza en forma de hongo con rosca y un tornillo para sujetar. Material: zamak finamente pulido.  Acabado: Pavon brillante.
Numero #10</t>
  </si>
  <si>
    <t xml:space="preserve">Remache tornillo para cinturones zamak níquel
</t>
  </si>
  <si>
    <t>Elemento metálico de fijación que se emplea para unir de forma permanente dos o más piezas, usualmente en cinturones, compuesto de una cabeza  plana con un perno estriado en el extremo y una hembra con cabeza plana  ranurada para atornillar. Material: latón macizo.  Acabado: níquel.  Tamaño: Diametro cabeza 9,5mm - Altura:8mm</t>
  </si>
  <si>
    <t xml:space="preserve">Remache tornillo para cinturones zamak oro
</t>
  </si>
  <si>
    <t>Elemento metálico de fijación que se emplea para unir de forma permanente dos o más piezas, usualmente en cinturones, compuesto de una cabeza  plana con un perno estriado en el extremo y una hembra con cabeza plana  ranurada para atornillar. Material: latón macizo.  Acabado: oro.  Tamaño: Diametro cabeza 9,5mm - Altura:8mm</t>
  </si>
  <si>
    <t xml:space="preserve">Remache tornillo para cinturones zamak pavon
</t>
  </si>
  <si>
    <t>Elemento metálico de fijación que se emplea para unir de forma permanente dos o más piezas, usualmente en cinturones, compuesto de una cabeza  plana con un perno estriado en el extremo y una hembra con cabeza plana  ranurada para atornillar. Material: latón macizo.  Acabado: pavonado.  Tamaño: Diametro cabeza 9,5mm - Altura:8mm</t>
  </si>
  <si>
    <t>Terminal puntera cinturón oro</t>
  </si>
  <si>
    <t>Herraje para cubrir la punta de los cinturones, compuesto de la pieza principal con sistema de tornillos para sujetar la correa. Elaborado en zamak finamente pulido. Acabado: oro brillante. Tamaño:25mm</t>
  </si>
  <si>
    <t>Terminal puntera cinturón niquel</t>
  </si>
  <si>
    <t>Herraje para cubrir la punta de los cinturones, compuesto de la pieza principal con sistema de tornillos para sujetar la correa. Elaborado en zamak finamente pulido. Acabado: niquel brillante. Tamaño:25mm</t>
  </si>
  <si>
    <t>Terminal puntera cinturón pavon</t>
  </si>
  <si>
    <t>Herraje para cubrir la punta de los cinturones, compuesto de la pieza principal con sistema de tornillos para sujetar la correa. Elaborado en zamak finamente pulido. Acabado: pavonado. Tamaño:25mm</t>
  </si>
  <si>
    <t xml:space="preserve">Kit de pies para maquina de coser para  la colocacion de cremalleras </t>
  </si>
  <si>
    <t>Dispositivo metalico para guia standar especial para la colocacion de cremalleras
Pie de cremallera con punta derecha e izquierda para JACK H2 Consew 205RB / Brother B797 /JUKIDU-141,DU-1181/Highlead GC0318/Feiyue FY-5318</t>
  </si>
  <si>
    <t>Amazon</t>
  </si>
  <si>
    <t>Kit de pies para maquina de coser para  la colocacion de cremalleras, para máquinas de coser</t>
  </si>
  <si>
    <t xml:space="preserve">Dispositivo metalico para guia standar especial para la colocacion de cremalleras
Pie de cremallera estrecho derecho/izquierdo para máquinas de coser PFAFF 145, 335, 545, 1245, Mitsubishi CU865
</t>
  </si>
  <si>
    <t xml:space="preserve"> Tablas salva corte (45x 60cm )</t>
  </si>
  <si>
    <t>Escuela de artes y oficios Santo domingo</t>
  </si>
  <si>
    <t>Kit de pies metalicos triple transporte para envivar lado izquierdo</t>
  </si>
  <si>
    <t>Disposito de arrastre  acanalado con aguja a la derecha  para coser vivos en cuero
Uso: envivar piezas de cuero
Material: metal de alta calidad, duradero y resistente al uso
Codigo:
67E05
67I05</t>
  </si>
  <si>
    <t>Kit de pies metalicos triple transporte para  hebilleros</t>
  </si>
  <si>
    <t>Disposito de arrastre  para coser hebillas en cuero
Uso: coser hebilleros
Material: metal de alta calidad, duradero y resistente al uso
Codigo: 89672211</t>
  </si>
  <si>
    <t>Aliespress (Handsafe)</t>
  </si>
  <si>
    <t>Aliespress (BW store)</t>
  </si>
  <si>
    <t>Kit de pies metalicos triple transporte para costura de manijas</t>
  </si>
  <si>
    <t xml:space="preserve">Juego de dispositivos metálicos para la confeccion de manijas en  cuero
Uso: triple arrastre para coser manijas
Material: metal de alta calidad, duradero y resistente al uso.
</t>
  </si>
  <si>
    <t>Pie para desbastadora con pin para surco de 30 mm.</t>
  </si>
  <si>
    <t>Dispositivo para rebajar cuero, permite pelar y hacer surco
para plegar con una sola operación.
Rodillo: central
medidas: 30 mm</t>
  </si>
  <si>
    <t>Aliespress (Jojosews Store)</t>
  </si>
  <si>
    <t>Aliespress (CS sewing machine)</t>
  </si>
  <si>
    <t>Pie para desbastadora con rodillo 45 mm.</t>
  </si>
  <si>
    <t>Pie con rodillo de alimentacion de 45 mm.
Se utiliza cuando se requiere un rebajo muy preciso en materiales de difícil deslizamiento:
el rodillo permite la máxima suavidad
incluso en materiales muy resistentes y tenaces.
Pasador excéntrico.
Medidas: 45mm</t>
  </si>
  <si>
    <t xml:space="preserve">Pie para desbastadora con rodillo giratorio para plegado  de 1.5 / 2 mm. </t>
  </si>
  <si>
    <t xml:space="preserve">Dispositivo para realizar canales para plegado, El ancho estándar de la rueda pequeña que hace el canal es de 2 mm. Pasador excéntrico.
Medidas: 1.5 / 2 mm </t>
  </si>
  <si>
    <t>Pie para desbastadora con pieza conica de 17 mm.</t>
  </si>
  <si>
    <t>Pie con rodillo conico de 17 mm.
Se utiliza cuando se requiere un biselado preciso en materiales de difícil deslizamiento:
el rodillo permite la máxima suavidad
incluso en materiales muy resistentes y tenaces.
Pasador excéntrico.</t>
  </si>
  <si>
    <t>Pie para desbastadora con rodillo de 34 mm.</t>
  </si>
  <si>
    <t>El pie completo 1498 C consta de dos partes:
el pie (código 1453) y el rodillo de 34 mm (código 1498)
Ideal para dividir 34 mm. 801
Rodillo, que permite la máxima suavidad incluso sobre
materiales muy resistentes y duros, desde cartón a fibras,
hasta pieles grandes y pieles grasas muy duras.</t>
  </si>
  <si>
    <t>Aliespress (sewingparts Store)</t>
  </si>
  <si>
    <t>Pie para desbastadora corto de 20 mm.</t>
  </si>
  <si>
    <t>20 mm de pie. Muy utilizado especialmente en el sector del calzado para desbastes cortos y angulosos
1486</t>
  </si>
  <si>
    <t>Moto-Tool Neumático 20000 RPM</t>
  </si>
  <si>
    <t>Diseño para uso profesional, ideal para trabajos en pequeña cantidad o mantenimientos de rutina. Cuerpo forjado en acero especial de alta resistencia al desgaste. Gatillo flexible de activación que ofrece rotaciones estables con bajos desniveles y vibraciones.
Características
Diseño para uso profesional, ideal para trabajos en pequeña cantidad o mantenimientos de rutina
Cuerpo forjado en acero especial de alta resistencia al desgaste
Gatillo flexible de activación que ofrece rotaciones estables con bajos desniveles y vibraciones
Encastre de 1/4"
Velocidad de ralentí (RPM): 20000
Consumo de aire promedio (CFM): 3
Nivel de ruido dB (A): 9510
Diámetro de Manguera de aire: 3/8"
Presión de trabajo (KGF/CM2): 635
Vibración (M/S2): 450
Leer el manual de usuario antes de usar
Lubricar diariamente antes de usar
Verificar que el aire comprimido este limpio y seco, esto ayudará a alargar la vida útil de la herramienta.</t>
  </si>
  <si>
    <t>Util</t>
  </si>
  <si>
    <t xml:space="preserve">31211502	</t>
  </si>
  <si>
    <t>Kit de quemado de madera con pantalla digital con 20 puntas de alambre</t>
  </si>
  <si>
    <t xml:space="preserve">El kit de pirograbado WEP 939D-VI incluye dos plumas desmontables, un soporte de doble cuerpo, un recipiente para recoger puntas, 20 puntas de pirograbado con punta de alambre, un destornillador, pinzas, 2 piezas de madera y 2 tornillos de repuesto.
La temperatura ajustable WEP 939D-VI de 250 a 1,382.0 °F / 482 a 1382°F. Adecuado para obras de arte de pirografía en madera y cuero. Puede cambiar la temperatura a través de la perilla de ajuste y la pantalla LED muestra la configuración actual para fines de referencia. Conexion 110 W
Dimensiones del producto 5,12 x 3,39 x 3,74 pulgadas 
2 bolígrafos con agarre de espuma eva de alta desnidad que aísla el calor 
20 puntas de alambre 
Guía para principiantes 
Modelo 939D-VI 
Rango de temperatura 482.0 °F~1,382.0 °F/482℉~1382℉ 
Temperatura de funcionamiento 0~104.0 °F/32℉~104℉ 
Voltaje 	110 V ~ 127 V/CA, 50 Hz 
Talla 	L130*W86*H95mm ±5mm 
Pantalla de temperatura 	Nixie LED 
</t>
  </si>
  <si>
    <t>Devanador de bobinas automático (o bobinador eléctrico)</t>
  </si>
  <si>
    <t xml:space="preserve">Diseñado para transferir hilo de un carrete grande a las bobinas pequeñas que utilizan las máquinas de coser industriales y domésticas.Devanadora de bobina automática, de bobinado inteligente.
Esta bobinadora automática eléctrica ahorra mucho tiempo cuando necesita completar rápidamente un gran proyecto de bobinado.
Fácil de instalar y mantener, duradero y práctico.
Especificaciones y Componentes
Sistema de Alimentación: Funciona mediante conexión eléctrica directa (cable de CA visible), lo que elimina la dependencia del motor de la máquina de coser.
Husillo de Bobinado: Eje vertical metálico donde se coloca la bobina vacía.
Control de Tensión: Cuenta con un disco de tensión ajustable (perilla blanca a la derecha) para asegurar que el hilo se enrolle de manera uniforme y con la firmeza adecuada.
interfaz de Control:
Interruptor de Encendido/Apagado: Interruptor basculante rojo con protección para iniciar el paso de corriente.
Botón de Inicio: Botón azul para activar el ciclo de bobinado.
Indicador LED: Luz verde que señala el estado operativo del equipo.
Sensor de Parada Automática: Palanca metálica central que detecta cuando la bobina está llena, deteniendo el motor automáticamente para evitar sobrecargas o desperdicio de hilo.
Material: plástico y hierro
Color blanco
con: Adaptador de la UE
tamaño:134x60x52mm
</t>
  </si>
  <si>
    <t>Imagen</t>
  </si>
  <si>
    <t>Pintura acrilica " Angelus acrylic leather paint"</t>
  </si>
  <si>
    <t>Aliespress (Green Lady Painting Material)</t>
  </si>
  <si>
    <t>Aliespress (TT Painting Material Store)</t>
  </si>
  <si>
    <t>Máquina plegadora de cuero eléctrica KL</t>
  </si>
  <si>
    <t xml:space="preserve">Máquina plegadora eléctrica de calor (también conocida como fileteadora térmica), una herramienta de alta precisión diseñada para el acabado profesional de bordes en marroquinería de lujo.
1. Unidad de Control (Caja Central)
Es el núcleo del sistema. Su función principal es transformar la energía eléctrica y permitir la regulación digital o analógica de la temperatura.
Carcasa: Metálica con rejillas de ventilación laterales para evitar el sobrecalentamiento durante jornadas largas de trabajo.
Panel Frontal: Se aprecian interruptores (rojos) para encender/apagar cada mango de forma independiente y perillas para ajustar el calor exacto según el tipo de cuero o cera que se esté utilizando.
2. Mangos Aplicadores (Handpieces)
La máquina cuenta con dos mangos de madera ergonómicos.
Material: La madera ayuda a aislar el calor, permitiendo un agarre cómodo y seguro.
Conexión: Utilizan cables reforzados y flexibles que terminan en conectores de aviación (roscados) para asegurar que no se desconecten accidentalmente.
Soporte: Reposan sobre una base de madera ranurada que evita que las puntas calientes toquen la mesa de trabajo o el tapete de corte.
Accesorios de Conexión
Cable de alimentación: Cable estándar para conectar la unidad a la toma de corriente 110V
Adaptador de corriente: Un adaptador de enchufe tipo europeo (C) a americano/global para asegurar compatibilidad eléctrica.
Conexion: 110 Voltios
</t>
  </si>
  <si>
    <t>Kevin leather tools</t>
  </si>
  <si>
    <t>Puntas intercabiables para máquina plegadora de cuero eléctrica KL</t>
  </si>
  <si>
    <t>Colección de accesorios, conocidos técnicamente como puntas o electrodos de fileteado, representan el set de herramientas de precisión que se acoplan a los mangos de la máquina térmica. Están fabricadas generalmente en acero inoxidable o latón pulido para garantizar una transferencia de calor uniforme y un deslizamiento suave sobre el cuero.
1. Fileteadores de Borde (Edge Creasers)
Son las puntas más numerosas en la imagen. Se identifican por tener dos "patas" o guías metálicas.
Función: La pata más larga se apoya en el canto del cuero para servir de guía, mientras que la corta (que está caliente) marca una línea paralela.
2. Puntas de Alisado y Compactado (Smoothing Tips)
Se observan puntas con superficies planas o ligeramente curvas (similares a una pequeña espátula).
Función: Se utilizan para sellar y alisar el borde después de aplicar ceras o pinturas (proceso de vitrificado). El calor ayuda a que el producto penetre en la fibra y deje un acabado brillante y resistente.
3. Bruñidores Redondos (Wax Spatulas / Burnishers)
Algunas puntas tienen formas cilíndricas o redondeadas con ranuras.
Función: Ideales para trabajar el canto de correas o piezas donde se requiere un acabado redondeado. La fricción del calor compacta las capas de cuero pegadas, haciendo que la unión sea casi invisible.
4. Puntas de Modelado y Tallado (Modeling Tips)
Son las que terminan en una punta más fina o en forma de cuchara pequeña.
Función: Permiten realizar dibujos a mano alzada, transferir diseños mediante calor o acentuar volúmenes en técnicas de repujado térmico.
5. Adaptadores y Bases Roscadas
Cada accesorio cuenta con una base roscada y moleteada (la parte dorada con textura).
Sistema de anclaje: El moleteado permite enroscar y desenroscar la punta manualmente incluso cuando está ligeramente tibia (aunque se recomienda usar pinzas o esperar a que enfríe).
Resistencia interna: En el interior de la base metálica se encuentra el elemento que hace contacto con la resistencia del mango para recibir el calor.
* Sector de pliegue "FN" (para crear una línea de ranura redonda):
FN1 = 0,8 mm
FN2 = 1,2 mm
FN3 = 1,6 mm
FN4 = 2,0 mm.
  * Sector de pliegue "F" (para crear una línea fina):
F1 = 0,8 mm
F2 = 1,2 mm 
F3= 1,6 mm 
F4 = 2,0 mm 
F-2,5 = 2,5 mm 
     F-3,0 = 3,0 mm    
Punta de pliegue "M" (forma redonda):  
M1 = 0,8 mm 
M2 = 1,2 mm 
M3 = 1,6 mm  
 M4 = 2,0 mm. 
Punta en forma de espada : Punta de latón para moldeo. Varilla de latón (puntas de 2 mm y 4 mm).    
Punta "Y": para crear una línea de costura. 
Y2 = 2 mm 
Y3 = 3 mm.     
Punta "L": para crear un borde de prensado.  
L2 = 2 mm  
L3 = 3 mm.
Total puntas: 20 unidades</t>
  </si>
  <si>
    <t>Prensa para cinturon</t>
  </si>
  <si>
    <t>Prensa de costura horizontal, diseñada específicamente para trabajar piezas largas como cinturones, correas de bolsos o tirantes.
1. Estructura y Cuerpo
La prensa está fabricada en madera maciza, lo que proporciona un peso adecuado para que no se desplace mientras se ejerce fuerza al coser.
Mazas de presión: Consta de dos listones largos y paralelos que actúan como mordazas. Su longitud es la clave, ya que permite sujetar un tramo largo de la correa (como se ve con la pieza de cuero negro) sin que esta se doble o cuelgue excesivamente.
Base de estabilidad: Tiene soportes transversales en los extremos que elevan la prensa y le otorgan una base ancha para evitar que se vuelque hacia los lados.
2. Sistema de Ajuste (Tornillería)
Utiliza un sistema de tornillos pasantes con tuercas de mariposa (wing nuts).
Función: Las tuercas de mariposa permiten apretar o liberar la presión manualmente de forma rápida, sin necesidad de herramientas adicionales.
Distribución: Al tener dos puntos de presión (uno en cada extremo), asegura que la fuerza sea uniforme en todo el tramo de la madera, evitando que el cuero se deslice en un extremo mientras está apretado en el otro.
3. Canal de Sujeción
Entre los dos listones de madera se forma una ranura donde se inserta el cuero.
Protección del material: Al ser de madera, las mordazas no marcan ni rayan la flor del cuero, algo crítico en trabajos de marroquinería fina.
Altura de trabajo: La pieza de cuero queda expuesta a una altura cómoda para realizar el perforado con tenedor de costura (chisels) o para pasar las agujas en la costura a dos manos (punto de guarnicionero).
Dimensiones:
Largo Total 40 - 45 cm
Ancho de los listones	4 - 5 cm
Ancho Total (Base) 15 - 18 cm
Altura Total 8 - 10 cm
Finamente pulido y dleicado</t>
  </si>
  <si>
    <t>Unepel</t>
  </si>
  <si>
    <t>Reata en algodon poliester  spun y nylon 50 mm</t>
  </si>
  <si>
    <t>Coveta</t>
  </si>
  <si>
    <t>Reata nylon 19 mm</t>
  </si>
  <si>
    <t>Reata nylon 25 mm</t>
  </si>
  <si>
    <t>Reata nylon 38 mm</t>
  </si>
  <si>
    <t>Cordon Nylon plano 10mm</t>
  </si>
  <si>
    <t>Elastico poliester y elastomero 38 mm</t>
  </si>
  <si>
    <t>Indigo prelavado Azul</t>
  </si>
  <si>
    <t>Cavicueros</t>
  </si>
  <si>
    <t>Manaure</t>
  </si>
  <si>
    <t>Tejido plano de urdimbre y trama Playa</t>
  </si>
  <si>
    <t>Lona toscana</t>
  </si>
  <si>
    <t>Axel</t>
  </si>
  <si>
    <t>Aguja capotera punta roma paquete</t>
  </si>
  <si>
    <t xml:space="preserve"> Agujas punta Roma Ojo Grande, 5cm 6cm 7cm Agujas de Tapicería para Costura a Mano y Crochet (Plateadas)Ojo (perforación) amplio: Suele tener un orificio alargado y grande para facilitar el enhebrado de materiales gruesos como lana, cintas o cordones.fabricada en acero inoxidable o niquelado, lo que la hace resistente, duradera y de superficie lisa para un mejor deslizamiento.</t>
  </si>
  <si>
    <t>mil herrajes  x4</t>
  </si>
  <si>
    <t xml:space="preserve">Cajas por </t>
  </si>
  <si>
    <t xml:space="preserve">
PIOLA DE ALGODON         #30,36(3MM),42 (4MM)   PAQUTE x 20 MADEJAS</t>
  </si>
  <si>
    <t xml:space="preserve">piola de algodon de tres cabos numero 36 o 3 milimetros color cruda apta para teñir (APT) 100% algodón natural. Es una fibra suave al tacto, biodegradable y no genera estática. Está compuesta por tres ramales trenzados en espiral. Esta construcción le otorga un relieve característico y una textura estriada. Su tono natural es crudo (blanco hueso o marfil), aunque acepta muy bien tintes textiles debido a la porosidad del algodón. </t>
  </si>
  <si>
    <t>central de hilos</t>
  </si>
  <si>
    <t>1 aguja de coser de cuero de acero resistente - Grande de 56 mm (2.2") - Punta afilada para cuero, tela, tapicería, fabricación, reparación de zapatos - Herramienta de artesanía profesional para principiantes y expertos - Aguja duradera para trabajos en cuero para manualidades</t>
  </si>
  <si>
    <t xml:space="preserve">
PIOLA DE ALGODON RECUPERADO       #30,36(3MM),42 (4MM)   X 2000 gr   </t>
  </si>
  <si>
    <t>cuerda delgada y resistente, comúnmente fabricada de 70% ALGODON Y 30% OTRAS FIBRAS, caracterizada por tener tres o más cabos entrelazados. Es un material suave al tacto, ideal para macramé</t>
  </si>
  <si>
    <t>desenlace</t>
  </si>
  <si>
    <t>2 aguja de coser de cuero de acero resistente - Grande de 56 mm (2.2") - Punta afilada para cuero, tela, tapicería, fabricación, reparación de zapatos - Herramienta de artesanía profesional para principiantes y expertos - Aguja duradera para trabajos en cuero para manualidades</t>
  </si>
  <si>
    <t xml:space="preserve">PIOLA DE ALGODON RECUPERADO       #30,36(3MM),42 (4MM)   X 1000 gr         </t>
  </si>
  <si>
    <t>cuerda delgada y resistente, comúnmente fabricada de 70% ALGODON Y 30% OTRAS FIBRAS, caracterizada por tener tres o más cabos entrelazados. Es un material suave al tacto, ideal para macramé COLORES: TERRACOTA OSCURO,CAFE  LATTE, CAFE MOCA,VERDE MILITAR,MOSTAZA,VERDE JADE,AZUL REY,NARANJADO.</t>
  </si>
  <si>
    <t>HILAZA DE ALGODON #30(3MM) X1000GRAMOS</t>
  </si>
  <si>
    <t>LA HILAZA DE ALGODON ES UN MATERIAL QUE CONTIENE 1 SOLO CABO ES MAS SUELTO DA UN ACABADO SUAVE ES UNA FIBRA IDEAL PARA PRODUCTOS QUE REQUIERA DESPEINAR,COMPOSICION 80% DE ALGODON Y 20% DE OTRAS FIBRAS COLOR NATURAL</t>
  </si>
  <si>
    <t xml:space="preserve">desenlace </t>
  </si>
  <si>
    <t>HILAZA DE ALGODON #30(3MM),36(4MM) X1000GRAMOS</t>
  </si>
  <si>
    <t>LA HILAZA DE ALGODON ES UN MATERIAL QUE CONTIENE 1 SOLO CABO ES MAS SUELTO DA UN ACABADO SUAVE ES UNA FIBRA IDEAL PARA PRODUCTOS QUE REQUIERA DESPEINAR,COMPOSICION 80% DE ALGODON Y 20% DE OTRAS FIBRAS COLORES: CANELA,TABACO,MENTA,PISTACHO</t>
  </si>
  <si>
    <t xml:space="preserve">PIOLA POLIESTER#36(3MM) X 1000GRAMOS </t>
  </si>
  <si>
    <t>LA PIOLA POLIESTER ES UN CORDON MUY SUAVE CON UN BRILLO SUTIL ,RESISTENTE AL AGUA,RESISTENTE A LOS RAYOS DEL SOL,Y A CUALQUIER AMBIENTE EN EL EXTERIOR                COLORES SURTIDOS:COLOR NATUARAL,COCOA,CHOCOLATE,GRIS OSCURO,TERRACOTA,NARANJA</t>
  </si>
  <si>
    <t>temu</t>
  </si>
  <si>
    <t>CORDON TRENZADO CON ALMA DE ALGODON SU COMPOSICION ES DE UN 90% DE ALGODON COLOR CRUDO</t>
  </si>
  <si>
    <t>HILO TERLENKA#9 MATIZADO</t>
  </si>
  <si>
    <t>El Hilo Terlenka #9 matizado es un hilo de poliéster de alta durabilidad, ampliamente utilizado en trabajos de macramé, crochet, bisutería y manualidades. Se presenta en rollos de 100 gramos y se caracteriza por ser un hilo trenzado de alta torsión, lo que le proporciona mayor resistencia, firmeza y estabilidad durante el trabajo.
(multicolor/degradados) para hilos tipo Terlenka o similares — es decir, aquellos que no son colores sólidos, sino combinaciones que cambian de tono en un mismo rollo: Su estructura evita el deshilachado, facilita el manejo y permite obtener nudos y tejidos bien definidos.
Estos nombres reflejan combinaciones de tonos que van desde claros a oscuros o mezclan varios colores en un mismo hilo, ideal para efectos visuales decorativos                                                                                                                                                                                                                                                                                                                MATIZADO CARAMELO                                                                                                                                                                                                                                                                                                                                                                                                                                                                                                                                                                                                  MATIZADO CORTEZA                                                                                                                                                                                                                                                                                                                                                                                                                                                                                                                                                                         MATIZADO PALO DE ROSA                                                                                                                                                                                                                                                                                                                                                                                                                                                                                                                                                                                      MATIZADO TIERRA</t>
  </si>
  <si>
    <t xml:space="preserve">temu </t>
  </si>
  <si>
    <t>tigeras multiusos 5.5 " ojo plastico</t>
  </si>
  <si>
    <t>tijeras ojo plastico hoja de acero inoxidable  hoja de acero inoxidable espesor de la hoja de 2 mm, herramienta robusta, diseñada con hojas de acero de alta resistencia (como magnesio #65) y un diseño de alto apalancamiento para cortar pieles, vaquetilla, fieltro o materiales industriales (hasta 3.5 mm o más) con precisión y sin esfuerzo. Cuentan con mangos ergonómicos y filos duraderos optimizados para marroquinería profesional</t>
  </si>
  <si>
    <t>ferragro</t>
  </si>
  <si>
    <t xml:space="preserve">maquinas titus </t>
  </si>
  <si>
    <t>tijera para cuero/materiales gruesos</t>
  </si>
  <si>
    <t>hoja de acero inoxidable espesor de la hoja de 2 mm, herramienta robusta, diseñada con hojas de acero de alta resistencia (como magnesio #65) y un diseño de alto apalancamiento para cortar pieles, vaquetilla, fieltro o materiales industriales (hasta 3.5 mm o más) con precisión y sin esfuerzo. Cuentan con mangos ergonómicos y filos duraderos optimizados para marroquinería profesional</t>
  </si>
  <si>
    <t>indico</t>
  </si>
  <si>
    <t xml:space="preserve"> </t>
  </si>
  <si>
    <t>tijera textilera 4,5" ojo plástico</t>
  </si>
  <si>
    <t>La tijera textilera de 4,5″ (11,4 cm) con ojo plástico (o mango plástico) es una herramienta de precisión diseñada para costura y manualidades, ideal para deshebrar, cortar hilos y telas ligeras. Cuenta con hojas afiladas de acero inoxidable o al carbono, mango ergonómico para reducir fatiga y un tamaño compacto tipo barrilito</t>
  </si>
  <si>
    <t>falabella</t>
  </si>
  <si>
    <t>hiladillo 5 mm</t>
  </si>
  <si>
    <t>material industrial de alta tenacidad, principalmente de poliéster o nylon bondeado, diseñado para resistir tracción, abrasión y humedad. Suele ser encerado para facilitar la costura, disponible en calibres gruesos (Tex 70-300+) para suelas, mocasines y cuero, garantizando durabilidad en costuras funcionales y decorativas.</t>
  </si>
  <si>
    <t>H.rios</t>
  </si>
  <si>
    <t xml:space="preserve">la casa de los cordones </t>
  </si>
  <si>
    <t>peleteria horce</t>
  </si>
  <si>
    <t>BROCHA PARA HALOGENAR Y CEMENTAR CALZADO APLICADOR DE PEGAMENTO DE 1/4"</t>
  </si>
  <si>
    <t xml:space="preserve">"Brocha para  pegamento.
Brocha con mango de pasta y cerdas sintéticas.
Largo total de la brocha: 14cm.
Brocha de  1""1/2 = 3,5 cm"		</t>
  </si>
  <si>
    <t>punto de los insumos</t>
  </si>
  <si>
    <t>peleteria global</t>
  </si>
  <si>
    <t xml:space="preserve">HILO POLIESTER CALIBRE 10 Hilo encerado </t>
  </si>
  <si>
    <t xml:space="preserve">"Hilo encerado 
Calibre, longitud y composición del hilo, #1 0,7mm, 200 m (218,72 yd), 280dtex/ 3×.
Material: Poliéster 100%
El MBT, ha sido tratado con un acabado encerado, ( Derretir/ Unir/Hilo)
Las fibras no se abren, lo que facilita pasar el hilo por el agujero de la aguja, y la ausencia de giro hacia atrás da lugar a puntadas bellamente terminadas.
La condición óptima que evitara que la cera se adhiera a la mano, al mismo tiempo que eliminaba la flotación del hilo (retorno de la costura) al coser a mano.
A diferencia de la encerado manual, donde la cera se aplica solo sobre la superficie del hilo, la cera se funde y penetra hasta el núcleo del hilo."	</t>
  </si>
  <si>
    <t>Palo de balso</t>
  </si>
  <si>
    <t>palo de balso cilindrindrico de 2cm de perimero de 1 metro de largo</t>
  </si>
  <si>
    <t>mercado libre (docena)</t>
  </si>
  <si>
    <t>panafargo unidad</t>
  </si>
  <si>
    <t xml:space="preserve">kit de lijado con rodillo para brocas de motor tull  y adicionales para herramientas rotativas </t>
  </si>
  <si>
    <t>Tambores y Bandas de Lijado de Alta Calidad con Mandriles de 1/2 y 1/4, Multi-Grano (80/120/180 Grano) para Herramientas Abrasivas Rotativas de motor toll</t>
  </si>
  <si>
    <t>kit</t>
  </si>
  <si>
    <t>mercado libre</t>
  </si>
  <si>
    <t>Bolas de madera, esfera o cuenta  # 12-14-16-18-20.</t>
  </si>
  <si>
    <t>Bola de madera color natural sin color, 12milimetros, 14 mm, 16mm, 18mm, 20mm con perforacion para pasar piolas, perforacion de 0.5mm</t>
  </si>
  <si>
    <t>lb</t>
  </si>
  <si>
    <t>mega variedades</t>
  </si>
  <si>
    <t>hilos herrajes cierres insumos (800 unidades)</t>
  </si>
  <si>
    <t>Aro de madera o anillos de madera color crudo sin pintar</t>
  </si>
  <si>
    <t>Aro de madera o anillo numero 4, 5, 6. el numero 5 es :50mm borde exterior y borde interior 34mm. el 4 es : 40mm borde exterior y 26 borde interior, y el 6: 60mm borde exterior y borde interior de 42mm</t>
  </si>
  <si>
    <t>mega variedades  libra</t>
  </si>
  <si>
    <t>aguja de coser  cuero de acero resistente</t>
  </si>
  <si>
    <t>paño</t>
  </si>
  <si>
    <t>Hilo encerado n 9 para coser zapatos</t>
  </si>
  <si>
    <t>Alta Calidad y Duradero para Manualidades, Herramientas y Costura a Mano El Hilo Terlenka #9 matizado es un hilo de poliéster de alta durabilidad, ampliamente utilizado en trabajos de macramé, crochet, bisutería y manualidades. Se presenta en rollos de 100 gramos y se caracteriza por ser un hilo trenzado de alta torsión, lo que le proporciona mayor resistencia, firmeza y estabilidad durante el trabajo.
(multicolor/degradados) para hilos tipo Terlenka o similares — es decir, aquellos que no son colores sólidos, sino combinaciones que cambian de tono en un mismo rollo: Su estructura evita el deshilachado, facilita el manejo y permite obtener nudos y tejidos bien definidos.
Estos nombres reflejan combinaciones de tonos que van desde claros a oscuros o mezclan varios colores en un mismo hilo, ideal para efectos visuales decorativos                                                                                                                                                                                                                                                                                                                MATIZADO CARAMELO                                                                                                                                                                                                                                                                                                                                                                                                                                                                                                                                                                                                  MATIZADO CORTEZA                                                                                                                                                                                                                                                                                                                                                                                                                                                                                                                                                                         MATIZADO PALO DE ROSA                                                                                                                                                                                                                                                                                                                                                                                                                                                                                                                                                                                      MATIZADO TIERRA</t>
  </si>
  <si>
    <t xml:space="preserve">mercado libre </t>
  </si>
  <si>
    <t>casa del los cordones</t>
  </si>
  <si>
    <t>tenedor punzon para perforar cuero</t>
  </si>
  <si>
    <t>Cuchillo francés oblicuo de corte plano, material de acero inoxidable 440C, mango alargado, herramienta de costura y punzado de cuero hecha a mano, corte plano diagonal de 3mm, 4mm, 5mm. de 2, de 4, 6 perforaciones en un solo golpe.</t>
  </si>
  <si>
    <t>crema Gardenia</t>
  </si>
  <si>
    <t>es un producto especializado a base de aceites naturales y ceras diseñado para limpiar, nutrir, suavizar y restaurar artículos de cuero graso, tales como zapatos, chaquetas, botas y bolsos. Ayuda a mantener la flexibilidad, protege el material y prolonga la vida útil de las prendas de cuero. Limpia, humecta y restaura el cuero graso.Frasco x 100gr</t>
  </si>
  <si>
    <t>falabella 100gr</t>
  </si>
  <si>
    <t>mercado libre 200gr</t>
  </si>
  <si>
    <t>cepillo para teñir cuero</t>
  </si>
  <si>
    <t>hisopo de lana o aplicador de lana. Una bola densa de lana natural o sintética (vellón) que actúa como depósito de líquido. Mango: Un alambre de acero galvanizado largo y flexible que termina en un pequeño aro para facilitar el agarre o para colgarlos mientras se secan.
Longitud: Generalmente miden entre 12 cm y 15 cm. La bola de lana retiene una gran cantidad de tinte, lo que permite cubrir superficies amplias del cuero sin tener que recargar constantemente</t>
  </si>
  <si>
    <t>paquete</t>
  </si>
  <si>
    <t>temu (25 unidades)</t>
  </si>
  <si>
    <t>mercado libre (20 unidades)</t>
  </si>
  <si>
    <t>Troquel abridor de ojaletes (tipo flor) o Remachador estriado para ojaletes manual de golpe</t>
  </si>
  <si>
    <t>Cortador Rotativo</t>
  </si>
  <si>
    <t>Cortador rotativo de 45 mm.
Material: Cuerpo de plástico ABS ergonómico y cuchilla circular de acero de tungsteno (SKS-7).
Especificaciones: Diámetro de cuchilla de 45 mm; cuenta con un seguro de protección para retraer la hoja y es apto para diestros y zurdos.
Función: Realizar cortes precisos y continuos en materiales como cueros delgados, blandos como textiles (denim), cuero delgado, papel y vinilo.</t>
  </si>
  <si>
    <t>homecenter</t>
  </si>
  <si>
    <t>repuesto de cuchillas rotatorias de 45mm</t>
  </si>
  <si>
    <t>Hoja circular de 45 mm fabricada en acero de alta calidad. Diámetro: 45 mm (medida estándar para la mayoría de cortadores manuales de marroquinería y costura).
Material: Acero de aleación de alta calidad (comúnmente SKS-7 o acero al tungsteno), tratado térmicamente para mantener un filo extremo por más tiempo.
Marcaciones: La superficie suele incluir una escala numérica grabada (del 1 al 12) que sirve como guía visual para el usuario al realizar cortes parciales o para identificar el desgaste de la hoja.
Presentación: Generalmente vienen en estuches de plástico rígido para un almacenamiento seguro, ya que son extremadamente filosas.</t>
  </si>
  <si>
    <t>comercial papelera</t>
  </si>
  <si>
    <t>Solvente para limpieza</t>
  </si>
  <si>
    <t>Solvente para limpieza de superficies en procesos de calzado y marroquinería producto transparente base solvente diseñado para la limpieza de suelas o accesorios de materiales como caucho, PVC o PU en procesos de fabricación de calzado y marroquinería. Este producto se caracteriza por su rápida acción y evaporación</t>
  </si>
  <si>
    <t>Garrafas</t>
  </si>
  <si>
    <t>peleteria galaxias</t>
  </si>
  <si>
    <t>halogenante  para calzado</t>
  </si>
  <si>
    <t>agente químico activador, generalmente compuesto de solventes orgánicos y cloro, fundamental en la industria del calzado para preparar suelas de caucho, TR o goma sintética. Cambia la polaridad de la superficie, generando "mordiente" o aspereza para lograr un anclaje fuerte y duradero al usar pegamentos tipo PU o PVC</t>
  </si>
  <si>
    <t xml:space="preserve">l </t>
  </si>
  <si>
    <t>litro</t>
  </si>
  <si>
    <t>primer pu</t>
  </si>
  <si>
    <t>es un imprimante/adhesivo de alto rendimiento, formulado con resinas de poliuretano, diseñado para mejorar la adherencia entre la suela y el corte (especialmente en materiales sintéticos, TR, caucho o cuero). Ofrece alta penetración, secado rápido, flexibilidad y gran resistencia a solventes</t>
  </si>
  <si>
    <t>cuero carnaza natural</t>
  </si>
  <si>
    <t>material afelpado, poroso, suave al tacto, pero muy resistente a la abrasión y tracción, siendo ideal para guantes de trabajo, calzado y marroquinería de estilo rústico en colores negro, natural,gris y café . CALIBRE 14- 16. se requiere muestra del proveedor</t>
  </si>
  <si>
    <t>cueros milenio</t>
  </si>
  <si>
    <t>cueros lucas</t>
  </si>
  <si>
    <t>cuero nobuck natural</t>
  </si>
  <si>
    <t>odena vulcano 1.5 mm</t>
  </si>
  <si>
    <t>La odena (fibra de celulosa) de calibre 1,5 mm es un material rígido y resistente, ideal para plantillas de armado en calzado vulcanizado. Ofrece alta durabilidad, no se deforma, garantiza adhesión fuerte al montaje, es transpirable y previene el agrietamiento</t>
  </si>
  <si>
    <t>cm</t>
  </si>
  <si>
    <t>Láminas</t>
  </si>
  <si>
    <t xml:space="preserve">H.rios </t>
  </si>
  <si>
    <t>iron grop</t>
  </si>
  <si>
    <t>mosca tachuela 
N° 3 
( 9/16")</t>
  </si>
  <si>
    <t>La tachuela tipo mosca N° 3 (9/16) es un clavo pequeño de cabeza ancha diseñado principalmente para zapatería y tapicería, ideal para fijar cueros, telas y materiales suaves a la madera. Fabricada usualmente en hierro gris (a veces acero), ofrece una sujeción resistente y duradera, con una longitud de aproximadamente 5.5</t>
  </si>
  <si>
    <t>caja</t>
  </si>
  <si>
    <t xml:space="preserve">ferragro </t>
  </si>
  <si>
    <t>bervar ferreteria</t>
  </si>
  <si>
    <t>mosca tachuela 2 (7/16)"</t>
  </si>
  <si>
    <t>La tachuela Mosca #2 de 7/16" es un elemento de fijación metálico (hierro) diseñado principalmente para la industria del calzado y la tapicería de muebles, ideal para fijar materiales sobre madera blanda o semidura. Se caracteriza por su tamaño, con una longitud o cabeza aproximada de pulgadas (aprox. 11 mm)</t>
  </si>
  <si>
    <t>ferromateriales del sur</t>
  </si>
  <si>
    <t>punto del insumo</t>
  </si>
  <si>
    <t>maquinas titus</t>
  </si>
  <si>
    <t xml:space="preserve">lamparas para máquinas de coser </t>
  </si>
  <si>
    <t>Moderna y flexible lámpara LED con 30 led para una mayor iluminación del área de trabajo, mango flexible y ergonómico. Voltaje 110V, Potencia 30 LED, Cable de fuente de energía 1,20 metros, Imán con reborde de caucho para evitar rayones</t>
  </si>
  <si>
    <t>H rios</t>
  </si>
  <si>
    <t xml:space="preserve">guias de costura para maquinas de poste </t>
  </si>
  <si>
    <t xml:space="preserve"> accesorio mecánico de alineación diseñado para máquinas de poste industriales empleadas en marroquinería, tapicería, calzado y confección de artículos técnicos.  fabricada en acero mecanizado de alta rigidez, lo que garantiza que no se flexione ni se desajuste bajo presión cuando se trabaja con materiales gruesos como cuero, vinilo, lona recubierta, neopreno, cordura o combinaciones multicapa con refuerzos. El acabado protegido contra la corrosión ayuda a prolongar su vida útil en ambientes de taller donde aceites, siliconas y adhesivos de contacto son frecuentes.</t>
  </si>
  <si>
    <t>aliexpres</t>
  </si>
  <si>
    <t>Fibra para punteras solvent 617</t>
  </si>
  <si>
    <t>Microfibras (Poliéster y Poliamida): Son fibras sintéticas extremadamente finas que imitan la estructura del cuero, ofreciendo suavidad, resistencia al desgaste y alta durabilidad. generalmente son ablandadas por medio de disolventes para dar forma sobre la horma.</t>
  </si>
  <si>
    <t>cm2</t>
  </si>
  <si>
    <t>peleteria copiel</t>
  </si>
  <si>
    <t>peleteria getrex</t>
  </si>
  <si>
    <t>fibra para contrafuertes solvent 619</t>
  </si>
  <si>
    <t>disolvente para fibras de punteras y contrafuertes</t>
  </si>
  <si>
    <t>Está indicado en el trabajo con fibras impregnadas, destinadas a Punteras y Contrafuertes, ya sean Tejidas o No Tejidas, para humedecerlas y hacerlas maleables y así poder moldear la forma de la horma en el contrafuerte o la puntera.un producto con base en Resinas de Poliestireno disueltas en Solventes Aromáticos. presentacion de 750 cc</t>
  </si>
  <si>
    <t>continental</t>
  </si>
  <si>
    <t>cremalleras de seguridad N° 3</t>
  </si>
  <si>
    <t>está diseñada con materiales robustos (metálicos, inyectados o de alta densidad) para ofrecer máxima durabilidad, resistencia a la corrosión y protección contra aperturas accidentales o forzadas, a menudo incluyendo doble cursor o sistemas de bloqueo</t>
  </si>
  <si>
    <t xml:space="preserve">accesoriosy herrajes la 50 </t>
  </si>
  <si>
    <t>el punto de los insumos</t>
  </si>
  <si>
    <t>hebillas de calzado de 14 mm</t>
  </si>
  <si>
    <t xml:space="preserve"> herraje, comúnmente de  hierro  utilizados para ajustar o adornar zapatos, sandalias y botas. Se caracterizan por un marco con un pitón o mecanismo de cierre, vienen en diversos acabados (níquel, dorado, mate) y medidas, esenciales para la sujeción firme de correa se requiere muestra</t>
  </si>
  <si>
    <t>par</t>
  </si>
  <si>
    <t xml:space="preserve">Pares de </t>
  </si>
  <si>
    <t>herrajes la 50</t>
  </si>
  <si>
    <t>herrajes el paisa</t>
  </si>
  <si>
    <t>hebillas de para calzado de 16mm</t>
  </si>
  <si>
    <t xml:space="preserve"> herraje, comúnmente de  hierro  utilizados para ajustar o adornar zapatos, sandalias y botas. Se caracterizan por un marco con un pitón o mecanismo de cierre, vienen en diversos acabados (níquel, dorado, mate) y medidas, esenciales para la sujeción firme de correa se requiere muestra
</t>
  </si>
  <si>
    <t xml:space="preserve">hebillas para calzado de 18 mm </t>
  </si>
  <si>
    <t xml:space="preserve">hebillas para calzado de 20mm </t>
  </si>
  <si>
    <t>aerografos</t>
  </si>
  <si>
    <t>Aerógrafo Profesional  Doble Acción.Utilizado para body paint, diseño gráfico, retoque pintura automotriz y tuning, textiles y pinturas de grandes superficies</t>
  </si>
  <si>
    <t>amazon</t>
  </si>
  <si>
    <t>homcenter</t>
  </si>
  <si>
    <t xml:space="preserve">compresores para aerografia </t>
  </si>
  <si>
    <t>Equipos  para suministrar un flujo constante y regulado de aire a baja presión (1 &amp;2 bares) para el funcionamiento preciso de los aerógrafos. Son esenciales para lograr acabados uniformes, caracterizándose por su bajo nivel de ruido (especialmente los silenciosos), compacticidad, filtros de humedad</t>
  </si>
  <si>
    <t>agrocolombia</t>
  </si>
  <si>
    <t>atrial</t>
  </si>
  <si>
    <t>soelco</t>
  </si>
  <si>
    <t xml:space="preserve">neolite grabado </t>
  </si>
  <si>
    <t>peleteria rincon</t>
  </si>
  <si>
    <t xml:space="preserve">EVA </t>
  </si>
  <si>
    <t>cm3</t>
  </si>
  <si>
    <t xml:space="preserve">11162112
</t>
  </si>
  <si>
    <t>plantiflex</t>
  </si>
  <si>
    <t xml:space="preserve">Es un textil delgado, tacto suave, acabado mate, resistente al agua pero no impermeable, no desilacha, Composición 100% nylon. Tejido plano. Peso 150gr/m2. colores según catalogo de la empresa. Material bondeado con interlon utilizado para plantillas 
</t>
  </si>
  <si>
    <t>cm4</t>
  </si>
  <si>
    <t>Peleteria Getrex</t>
  </si>
  <si>
    <t>Peleteria copiel</t>
  </si>
  <si>
    <t>Elástico de 15cm</t>
  </si>
  <si>
    <t>El elástico de calidad industrial para calzado se fabrica mediante un tejido de punto o telar plano (crochet o Jacquard) que integra dos componentes principales Recubrimiento: Fibras sintéticas de Poliéster o Poliamida (Nylon) de alta tenacidad. El poliéster es preferido por su resistencia a la humedad y a los rayos UV, evitando que el elástico se "venza" Resistencia a la Elongación: Generalmente se maneja un rango de estiramiento del 100% al 120% (por ejemplo, 10 cm se estiran hasta 22 cm)</t>
  </si>
  <si>
    <t>metros</t>
  </si>
  <si>
    <t xml:space="preserve">H rios </t>
  </si>
  <si>
    <t>Moravi</t>
  </si>
  <si>
    <t xml:space="preserve">Elástico de 20 cm </t>
  </si>
  <si>
    <t>mercadolibre</t>
  </si>
  <si>
    <t xml:space="preserve">Elástico de 5 cm </t>
  </si>
  <si>
    <t>calipso</t>
  </si>
  <si>
    <t xml:space="preserve">11161802
</t>
  </si>
  <si>
    <t>La lona tipo Croydon se caracteriza por ser un material textil resistente, comúnmente de 100% algodón o mezclas sintéticas duraderas, ideal para calzado urbano y deportivo. Ofrece alta flexibilidad, transpirabilidad</t>
  </si>
  <si>
    <t xml:space="preserve">13111305
</t>
  </si>
  <si>
    <t>Espuma multifor 5mm</t>
  </si>
  <si>
    <t>espumas plasticas sas</t>
  </si>
  <si>
    <t>beatex</t>
  </si>
  <si>
    <t>Espuma multifor de 10 mm</t>
  </si>
  <si>
    <t xml:space="preserve">tela malla poliester capellada </t>
  </si>
  <si>
    <t>peleteria Suprim</t>
  </si>
  <si>
    <t>carton industrial</t>
  </si>
  <si>
    <t>material de embalaje de alto rendimiento, duro, rígido y resistente, compuesto por varias capas de fibra de madera o papel reciclado, diseñado para proteger y transportar mercancías pesadas Cartón Gris o Piedra: Altamente rígido, ideal para estructura o encuadernación.</t>
  </si>
  <si>
    <t>panafargo</t>
  </si>
  <si>
    <t xml:space="preserve">11162307
</t>
  </si>
  <si>
    <t>badana sintetica</t>
  </si>
  <si>
    <t>mt</t>
  </si>
  <si>
    <t>cavicueros</t>
  </si>
  <si>
    <t xml:space="preserve">pinzas para montaje </t>
  </si>
  <si>
    <t>herramientas manuales de acero, fundamentales para estirar el corte Fabricadas en acero resistente (frecuentemente acero 45#), lo que garantiza durabilidad bajo tensión constante y resistencia al uso intensivo en marroquinería y zapatería</t>
  </si>
  <si>
    <t xml:space="preserve">H ,rios </t>
  </si>
  <si>
    <t>saca moscas</t>
  </si>
  <si>
    <t>extractor de tachuelas es un utensilio ergonómico diseñado para quitar  las tachuelas o clavos que se utilizan en la fabricación de calzado en el proceso de montaje . Consiste en una estructura de metal  resistente con una horquilla en forma de "U" o "V", y mango ergonomico en madera o plastico</t>
  </si>
  <si>
    <t>peleteria horse</t>
  </si>
  <si>
    <t>martillo de guarnecedor</t>
  </si>
  <si>
    <t>también conocido como martillo de zapatero o de asentar) es una herramienta altamente especializada La cabeza es de acero forjado y pulido a espejo, lo cual es vital para no dejar marcas o texturas no deseadas en la piel del zapato.  Mango:Posee una forma ergonómica que se ensancha hacia la base para evitar que se resbale.</t>
  </si>
  <si>
    <t>Unidad</t>
  </si>
  <si>
    <t xml:space="preserve">martillo cabezon para zapateria </t>
  </si>
  <si>
    <t>Cabezade acero al carbono forjado y templado. Suele tener un acabado pulido en la cara de golpeo para evitar rugosidades que dañen el material.
Peso estándar: Oscila entre los 300g y 500g. Es un martillo ligero, ya que el zapatero busca precisión y control más que fuerza bruta de impacto.
Mango: Generalmente de madera dura (como el fresno o el nogal) con forma ergonómica que se ensancha hacia la base para mejorar el agarre y reducir la fatiga durante el "rematado"</t>
  </si>
  <si>
    <t>cuchillo zapatero</t>
  </si>
  <si>
    <t>herramienta manual especializada para cortar, rebajar y dar forma al cuero y materiales de suela. Se caracteriza por una hoja rígida y corta (aprox. 8 -11 cm) de acero al carbono o inoxidable, con punta cuadrada o cónica, mango ergonómico de madera y un filo extremadamente agudo diseñado para cortes precisos</t>
  </si>
  <si>
    <t xml:space="preserve">piedra de afilar de carboro de silicio </t>
  </si>
  <si>
    <t>Carborundum es una herramienta abrasiva sintética de alta calidad, fabricada principalmente con carburo de silicio, diseñada para un afilado rápido, duradero y preciso de cuchillos, herramientas agrícolas y cuchillería industrial. Son reconocidas por su alta resistencia al desgaste, versatilidad y capacidad para mantener su forma</t>
  </si>
  <si>
    <t xml:space="preserve">mercadolibre </t>
  </si>
  <si>
    <t xml:space="preserve">casa ferretera </t>
  </si>
  <si>
    <t xml:space="preserve">23141700
</t>
  </si>
  <si>
    <t>Remachadora manual o piña abre ojales N°3</t>
  </si>
  <si>
    <t>herramienta robusta diseñada para perforar y colocar ojaletes metálicos en cuero o sintéticos. Permite presionar y asegurar ojales de diversos tamaños para cordones, garantizando durabilidad</t>
  </si>
  <si>
    <t>Peleteria Copiel</t>
  </si>
  <si>
    <t>El Punto de los Insumos</t>
  </si>
  <si>
    <t>Sus Herrajes</t>
  </si>
  <si>
    <t>suela para sandalia  de dama ,tacon  1.5 cms KIT con plantilla en odena y lambrilla</t>
  </si>
  <si>
    <t>Suplas</t>
  </si>
  <si>
    <t>Suelas Anderson</t>
  </si>
  <si>
    <t>ojalete 3/16"</t>
  </si>
  <si>
    <t xml:space="preserve">
El ojalete número 3 es un herraje metálico de tamaño pequeño-intermedio. Diámetro Interno (Orificio): 5 mm (equivalente a 3/16 de pulgada).  Diámetro Externo (Ala): Aproximadamente 9 mm. Altura del Poste (Profundidad): Entre 4 mm y 5 mm, lo que permite su aplicación en materiales de grosor delgado a medio. Materiales: Disponible comúnmente en latón (resistente a la corrosión), hierro (más económico, suele ser niquelado) e acero inoxidable.  Acabados: Níquel (plateado), latón (dorado), pavonado (negro mate) colores blanco y negro</t>
  </si>
  <si>
    <t>mil herrajes</t>
  </si>
  <si>
    <t>horma para bota tipo brama femenina</t>
  </si>
  <si>
    <t xml:space="preserve">hormas la forma </t>
  </si>
  <si>
    <t>hormas DyD</t>
  </si>
  <si>
    <t>Horma para bota tipo brama masculina</t>
  </si>
  <si>
    <t>compas de punta divisor de 6"</t>
  </si>
  <si>
    <t>El compás de puntas secas es una herramienta de precisión metálica, caracterizada por tener dos brazos articulados terminados en puntas de acero afiladas, sin mina de grafito, diseñado exclusivamente para tomar, trasladar y comparar medidas, o marcar materiales (madera/metal) sin dibujar líneas</t>
  </si>
  <si>
    <t xml:space="preserve">velcro </t>
  </si>
  <si>
    <t>italplas</t>
  </si>
  <si>
    <t xml:space="preserve">mototool inalambrico </t>
  </si>
  <si>
    <t>herramienta rotativa compacta y versátil, alimentada por baterías recargables (generalmente de iones de litio de 4V a 12V o más), diseñada para trabajos de precisión, detallado, bricolaje y modelismo. Permite cortar, lijar, pulir, grabar y perforar en espacios reducidos con libertad de movimiento, ofreciendo velocidades variables de 5.000 a 30.000 RPM, un mandril de  (3.2 mm) para accesorios intercambiables y un diseño ligero</t>
  </si>
  <si>
    <t>unidades</t>
  </si>
  <si>
    <t>ferreteria luis penagos</t>
  </si>
  <si>
    <t xml:space="preserve">total </t>
  </si>
  <si>
    <t>pistola de calor</t>
  </si>
  <si>
    <t>Pistola de aire caliente industrial con protector integrado, con perillas de reguladores de temperatura y velocidades.
Tipo de alimentacion electrica 1500
Altura 35 cm
Ancho 11 cm
Peso 1,3 kg
Cantidad de boquillas 4
Energia: 110 w
Temperatura: de 90 a 600 grados</t>
  </si>
  <si>
    <t>casa ferretera</t>
  </si>
  <si>
    <t>cinta metrica de zapatero</t>
  </si>
  <si>
    <t>La cinta métrica para zapatería es una herramienta flexible y especializada de 60  cm, diseñada para medir contornos, longitudes y volúmenes del pie, hormas o calzado. Generalmente graduada en centímetros/milímetros y numeración de calzado (europea o francesa), ofrece alta precisión para el diseño de plantillas.</t>
  </si>
  <si>
    <t>la casa del cordon</t>
  </si>
  <si>
    <t>inalmet</t>
  </si>
  <si>
    <t xml:space="preserve">bolsas plasticas para calzado </t>
  </si>
  <si>
    <t xml:space="preserve">Empaques versátiles y resistentes,  fabricados en polietileno de baja densidad (LDPE) o polipropileno (BOPP). Ideales para alimentos, textiles o componentes industriales, 40x 45 cms calibre 150 </t>
  </si>
  <si>
    <t>productos y suministros sas</t>
  </si>
  <si>
    <t xml:space="preserve">bolsas y empaques colombia </t>
  </si>
  <si>
    <t>pegante PU (Poliuretano)</t>
  </si>
  <si>
    <t>El pegante de poliuretano  adhesivo de alto desempeño diseñado para la industria del calzado y materiales difíciles. Ofrece alta resistencia, flexibilidad y secado rápido. Es ideal para cueros, sintéticos, lonas y carpas, destacando por su durabilidad extrema y a menudo con protección</t>
  </si>
  <si>
    <t>gal</t>
  </si>
  <si>
    <t>peleteria galaxia</t>
  </si>
  <si>
    <t>Láminas termoadheribles que refuerzan el talon</t>
  </si>
  <si>
    <t>fibra termoaderible firmeza media grosor de 0,6_1.8 ((± 0,10%)  Disponible con adhesivo HOT-MELT en una o dos caras compuesto por tejido de poliéster impregnado con resinas sintéticas de alta calidad.
Posee una retención de forma superior al 90%.
Refuerzo muy resistente con un alto grado de moldeado. Contrafuertes termoplásticos de alta calidad respetuosos con el medio ambiente.
Total reciclabilidad (los desperdicios se reciclan y reprocesan en el mismo material), minimizando el impacto ambiental.
Permite el ahorro de energía debido a su temperatura de activación baja.</t>
  </si>
  <si>
    <t>H.Rios</t>
  </si>
  <si>
    <t>euro compo</t>
  </si>
  <si>
    <t>Láminas termoadheribles que refuerzan la punta</t>
  </si>
  <si>
    <t>Láminas termoadheribles que refuezan la punta del calzado ofreciendo mayor confort y calidad firmeza media  0,60 – 1,8 (± 0,10 mm)  Disponible con adhesivo HOT-MELT en una o dos caras.
Compuesto por tejido de poliéster impregnado con resinas sintéticas de alta calidad.
Posee una retención de formar superior al 90%
Refuerzo muy persistente con un alto grado de moldeado.</t>
  </si>
  <si>
    <t xml:space="preserve">H. Rios </t>
  </si>
  <si>
    <t>eurocompo</t>
  </si>
  <si>
    <t>PEPAS DE MADERA COLOR NATURAL TAMAÑO M(20 MM)</t>
  </si>
  <si>
    <t xml:space="preserve">elemento esencial en el mundo de las artesanías por su calidez y versatilidad. Aquí tienes una descripción detallada que te servirá para catálogos o proyectos personales:
Características del Producto
Material: Madera natural, posiblemente pino o maderas claras similares, que permiten apreciar las vetas y anillos de crecimiento del árbol.
Acabado: Tienen un acabado barnizado o pulido que les da un brillo sutil y protege la madera de la humedad y el polvo.
Forma: Esférica (redonda) con un orificio central pasante, lo que facilita el ensartado en diversos hilos o cuerdas.
Estética: El color miel/ocre con vetas oscuras ofrece un aspecto orgánico, rústico y artesanal.
Diámetro Exterior: 20 mm
Diámetro del Agujero: 4 - 5 mm
</t>
  </si>
  <si>
    <t>mega variedades libra</t>
  </si>
  <si>
    <t>PEPAS DE MADERA COLOR NATURAL TAMAÑO M(25 MM)</t>
  </si>
  <si>
    <t xml:space="preserve">elemento esencial en el mundo de las artesanías por su calidez y versatilidad. Aquí tienes una descripción detallada que te servirá para catálogos o proyectos personales:
Características del Producto
Material: Madera natural, posiblemente pino o maderas claras similares, que permiten apreciar las vetas y anillos de crecimiento del árbol.
Acabado: Tienen un acabado barnizado o pulido que les da un brillo sutil y protege la madera de la humedad y el polvo.
Forma: Esférica (redonda) con un orificio central pasante, lo que facilita el ensartado en diversos hilos o cuerdas.
Estética: El color miel/ocre con vetas oscuras ofrece un aspecto orgánico, rústico y artesanal.
Diámetro Exterior: 25 mm
Diámetro del Agujero:5 - 6 mm
</t>
  </si>
  <si>
    <t>PEPAS DE MADERA PINTADA COLOR CAFE OSCURO TAMAÑO M(20 MM)</t>
  </si>
  <si>
    <t>PEPAS DE MADERA PINTADATAMAÑO M(20 MM) COLOR CAFE MEDIO</t>
  </si>
  <si>
    <t>PEPAS DE MADERA FORMA DE BARRILES        TAMAÑO M(16MMX17MM)</t>
  </si>
  <si>
    <t xml:space="preserve">elemento esencial en el mundo de las artesanías por su calidez y versatilidad. Aquí tienes una descripción detallada que te servirá para catálogos o proyectos personales:
Características del Producto
Material: Madera natural, posiblemente pino o maderas claras similares, que permiten apreciar las vetas y anillos de crecimiento del árbol.
Acabado: Tienen un acabado barnizado o pulido que les da un brillo sutil y protege la madera de la humedad y el polvo.
Forma: Esférica (redonda) con un orificio central pasante, lo que facilita el ensartado en diversos hilos o cuerdas.
Estética: El color miel/ocre con vetas oscuras ofrece un aspecto orgánico, rústico y artesanal.
Diámetro Exterior: 17 mm
Diámetro del Agujero: 3 - 4 mm
</t>
  </si>
  <si>
    <t>Tierra y piedra</t>
  </si>
  <si>
    <t>Maquinaria y equipo para agricultura, silvicultura y paisajismo</t>
  </si>
  <si>
    <t>Materiales de empaque</t>
  </si>
  <si>
    <t>Instrucciones o insertos impresos</t>
  </si>
  <si>
    <t>Herramientas manuales de precisión</t>
  </si>
  <si>
    <t>Equipo de apoyo para Construcción y Mantenimiento</t>
  </si>
  <si>
    <t>Año 2026</t>
  </si>
  <si>
    <t>Relación de elementos a cotizar (información suministrata por el Centro de Formación)</t>
  </si>
  <si>
    <t>Información a registrada por el cotizante</t>
  </si>
  <si>
    <t>Análisis del precio ($)</t>
  </si>
  <si>
    <t>Sumatoria  total de items ($)</t>
  </si>
  <si>
    <t>$8.680.656</t>
  </si>
  <si>
    <r>
      <t xml:space="preserve">Unidad de medida </t>
    </r>
    <r>
      <rPr>
        <b/>
        <i/>
        <sz val="11"/>
        <color rgb="FFC00000"/>
        <rFont val="Calibri"/>
        <family val="2"/>
      </rPr>
      <t>Escoger 
Lista</t>
    </r>
  </si>
  <si>
    <r>
      <rPr>
        <b/>
        <sz val="11"/>
        <color rgb="FF000000"/>
        <rFont val="Calibri"/>
        <family val="2"/>
      </rPr>
      <t xml:space="preserve">Presentación
</t>
    </r>
    <r>
      <rPr>
        <b/>
        <sz val="11"/>
        <color rgb="FFC00000"/>
        <rFont val="Calibri"/>
        <family val="2"/>
      </rPr>
      <t xml:space="preserve">
</t>
    </r>
    <r>
      <rPr>
        <b/>
        <i/>
        <sz val="8"/>
        <color rgb="FFC00000"/>
        <rFont val="Calibri"/>
        <family val="2"/>
      </rPr>
      <t>Escoger Lista</t>
    </r>
  </si>
  <si>
    <t>Valor Unitario con IVA ($)</t>
  </si>
  <si>
    <t>Valor Total  con IVA ($)</t>
  </si>
  <si>
    <t>Observaciones</t>
  </si>
  <si>
    <t>Fertilizantes y nutrientes para plantas y herbicidas</t>
  </si>
  <si>
    <t>Humus de lombriz: fertilizante orgánico, Acondicionador de suelo ideal para jardinería. Es el abono orgánico por excelencia, biorregulador y corrector del suelo cuya características fundamental es la inestabilidad, pues no da lugar a fermentaciones indeseables o putrefacción. Con los siguientes beneficios: Enriquecido con Nutrientes Naturales: Aporta una mezcla equilibrada de nutrientes esenciales, promoviendo un crecimiento vigoroso y saludable para todas tus plantas.
Mejora la Estructura del Suelo: Aumenta la fertilidad del suelo, favoreciendo un ambiente óptimo para el desarrollo radicular y el crecimiento de las plantas. Mayor Retención de Agua: Su capacidad para retener humedad reduce la necesidad de riego frecuente, ayudando a conservar el agua y hacer tus cultivos más resistentes a condiciones de sequía. Excelente Aireación: Promueve una aireación adecuada en el suelo, lo que es crucial para la salud de las raíces y la actividad microbiana benéfica.</t>
  </si>
  <si>
    <t>Bulto</t>
  </si>
  <si>
    <t>Bulto X 50 kilos</t>
  </si>
  <si>
    <t>INVERSIONES Y SUMINISTROS RL S.A.S.</t>
  </si>
  <si>
    <t>Se sugiere usar el valor promedio</t>
  </si>
  <si>
    <t>Se usa valor de proceso de compra 2025:  https://community.secop.gov.co/Public/Tendering/OpportunityDetail/Index?noticeUID=CO1.NTC.8172419&amp;isFromPublicArea=True&amp;isModal=False  + IPC 2026 (Corte a febrero: 5,29)</t>
  </si>
  <si>
    <t>tumatera</t>
  </si>
  <si>
    <t>Precio promedio web, IVA 19%, Flete estimado $10000, 
Margen de actualización 5,29% por proyección de incremento de precios. https://tumatera.co/products/bulto-humus-x-50-kg?srsltid=AfmBOoojT2MyxQtq-x6Hpozlnt1z6ji-yX0UA167cswzpwuHqFC0SL7Q</t>
  </si>
  <si>
    <r>
      <rPr>
        <sz val="11"/>
        <color rgb="FF000000"/>
        <rFont val="Calibri"/>
        <family val="2"/>
      </rPr>
      <t xml:space="preserve">Tierra negra zarandeada: Sustrato orgánico natural cuidadosamente seleccionado, tamizado y procesado con componentes estructurales y nutritivos que garantizan propiedades físicas y químicas necesarias para el adecuado desarrollo de las plantas.
Ventajas: Fácil manejo, Libre de patógenos, PH estable, Excelente relación de retención de humedad, Buen contenido de nutrientes.
</t>
    </r>
    <r>
      <rPr>
        <b/>
        <sz val="11"/>
        <color rgb="FF000000"/>
        <rFont val="Calibri"/>
        <family val="2"/>
      </rPr>
      <t>Nota</t>
    </r>
    <r>
      <rPr>
        <sz val="11"/>
        <color rgb="FF000000"/>
        <rFont val="Calibri"/>
        <family val="2"/>
      </rPr>
      <t>: debe entregarse con ficha técnica.</t>
    </r>
  </si>
  <si>
    <t>Bulto X 40 kilos</t>
  </si>
  <si>
    <t>Precio promedio web, IVA 19%, Flete estimado $10000, 
Margen de actualización 5,29% por proyección de incremento de precios. https://tumatera.co/collections/sustratos/products/bulto-tierra-abonada-x-40-kg</t>
  </si>
  <si>
    <r>
      <rPr>
        <sz val="11"/>
        <color rgb="FF000000"/>
        <rFont val="Calibri"/>
        <family val="2"/>
        <scheme val="minor"/>
      </rPr>
      <t xml:space="preserve">Cascarilla de arroz: Sustrato ligero y ecológico que mejora la aireación y evita la compactación. Ideal para mezclar con tierra en jardinería, cultivo de plantas y huertos urbanos, promoviendo un crecimiento óptimo y saludable. Apto para Agricultura Orgánica y Ecológica  Posee importantes nutrientes como fósforo y potasio y al mezclarse con la tierra y abonos, retrasa la compactación o el endurecimiento del suelo de las macetas, favoreciendo el desarrollo de las raíces de las plantas.   La cascarilla de arroz no solo controla la presencia de malezas sino que mejora la retención de agua de la planta, disminuye la temperatura del suelo, permite un adecuado crecimiento, ayuda a la fijación de nitrógeno, fósforo y potasio, y reduce costos pues como no hay maleza no se requiere mayor aplicación.   La cascarilla de arroz puede ocupar, en muchos casos, hasta un tercio del volumen total de los ingredientes de los abonos orgánicos. Es recomendable para controlar los excesos de humedad cuando se están preparando los abonos fermentados.
</t>
    </r>
    <r>
      <rPr>
        <b/>
        <sz val="11"/>
        <color rgb="FF000000"/>
        <rFont val="Calibri"/>
        <family val="2"/>
        <scheme val="minor"/>
      </rPr>
      <t>Nota:</t>
    </r>
    <r>
      <rPr>
        <sz val="11"/>
        <color rgb="FF000000"/>
        <rFont val="Calibri"/>
        <family val="2"/>
        <scheme val="minor"/>
      </rPr>
      <t xml:space="preserve"> debe entregarse con ficha técnica.</t>
    </r>
  </si>
  <si>
    <t>Bulto X 15 kilos</t>
  </si>
  <si>
    <t>TIERRAGRO</t>
  </si>
  <si>
    <t>Precio promedio web, IVA 19%, Flete estimado $10000, 
Margen de actualización 5,29% por proyección de incremento de precios. https://www.tierragro.com/products/cascarilla-de-arroz-x-100-litros-15-kg?_pos=1&amp;_psq=cascar&amp;_ss=e&amp;_v=1.0</t>
  </si>
  <si>
    <t xml:space="preserve">Bolsas plásticas pequeñas. Paquete de bolsas x 100, tamaño 12X18 </t>
  </si>
  <si>
    <t>x 100 unidades</t>
  </si>
  <si>
    <t>Paisajismo conSentido</t>
  </si>
  <si>
    <t xml:space="preserve">Paquete de bolsas resellables x 100, tamaño 4x6 </t>
  </si>
  <si>
    <t>Soemex</t>
  </si>
  <si>
    <t>https://www.soemex.com/100-mini-bolsas-plastico-transparente-ziploc-multiuso-4x6-cm-1?utm_source=js-google-shopping-app&amp;utm_medium=js-google-shopping-app&amp;variant_id=31950192&amp;srsltid=AfmBOooV6EMgSbp6Thfc2vhYIDs3glpfUL2ctBkE-Hb9wa8-n-a-JO2_Epc</t>
  </si>
  <si>
    <t>Paquete de bolsas plásticas resellables x 100, tamaño 7X10</t>
  </si>
  <si>
    <t>Mercadolibre</t>
  </si>
  <si>
    <t xml:space="preserve">
https://www.mercadolibre.com.co/bolsas-con-cierre-hermetico-transparente-100-uds-8x10cm/up/MCOU2420080571#polycard_client=search-desktop&amp;search_layout=grid&amp;position=48&amp;type=product&amp;tracking_id=9641d15c-9aac-43a6-96be-3ef900ec11f8&amp;wid=MCO2236160152&amp;sid=search</t>
  </si>
  <si>
    <t>Semillas, bulbos, plántulas y esquejes</t>
  </si>
  <si>
    <t>KIT DE SIEMBRA Presentación: x16 unds.  kit de plantulación para la germinación de semillas o enraizamiento de esquejes, puede ser utilizado para todo tipo de plantas. El Kit de Siembra contiene todo lo necesario para el desarrollo inicial de sus plantas. La bandeja permite manejar cada planta por separado; la base permite un mejor y más fácil manejo del riego, usted no tendrá que regar diario las plantas; la tapa ayuda a controlar la humedad relativa, lo cual obliga la apertura estomática de las plantas y un más rápido desarrollo. Beneficios Destacados del Kit de Siembra Crecimiento Rápido: Optimizamos el proceso de germinación para que tus plantas crezcan con velocidad y vigor. Fácil Manejo: Su diseño práctico permite una siembra y un trasplante sin complicaciones, ideal para aficionados y profesionales. Adecuada Gestión de Riego y Humedad: Ofrece un excelente control sobre la hidratación del sustrato, asegurando un ambiente óptimo para el desarrollo radicular. Formación Excelente de Raíz y Follaje: Fomenta un sistema radicular fuerte y un follaje abundante, lo que se traduce en plantas sanas y productivas. Sostenibilidad y Eficiencia: Su innovador diseño en forma de plug se adapta a las necesidades de las plantas, promoviendo la aireación y oxigenación del contenido. Gran Retención de Humedad: Mantiene la humedad necesaria para un crecimiento óptimo, reduciendo la frecuencia de riego.</t>
  </si>
  <si>
    <t>Kit x 16</t>
  </si>
  <si>
    <t>Precio promedio web, IVA 19%, Flete estimado $10000, 
Margen de actualización 5,29% por proyección de incremento de precios. https://www.tierragro.com/products/kit-siembra-palomino-materas-y-soportes?_pos=1&amp;_sid=047dd18a9&amp;_ss=r</t>
  </si>
  <si>
    <r>
      <rPr>
        <sz val="11"/>
        <color rgb="FF000000"/>
        <rFont val="Calibri"/>
        <family val="2"/>
        <scheme val="minor"/>
      </rPr>
      <t>Bloques de sustrato comprimido: Pequeños bloques de sustrato comprimido, diseñados para iniciar el crecimiento de tus plantas de manera eficiente. Perfectos para la germinación de semillas o el enraizamiento de esquejes, estos plugs proporcionan el ambiente ideal para un desarrollo óptimo de las raíces. Su estructura ligera y aireada favorece la absorción de agua y nutrientes, garantizando un inicio saludable para tus plantas.</t>
    </r>
    <r>
      <rPr>
        <b/>
        <sz val="11"/>
        <color rgb="FF000000"/>
        <rFont val="Calibri"/>
        <family val="2"/>
        <scheme val="minor"/>
      </rPr>
      <t xml:space="preserve"> Nota: </t>
    </r>
    <r>
      <rPr>
        <sz val="11"/>
        <color rgb="FF000000"/>
        <rFont val="Calibri"/>
        <family val="2"/>
        <scheme val="minor"/>
      </rPr>
      <t>Que sena compatibles con el Kit de siembra.</t>
    </r>
  </si>
  <si>
    <t>Bolsa</t>
  </si>
  <si>
    <t>Bolsa x 16 unidades</t>
  </si>
  <si>
    <t>Precio promedio web, IVA 19%, Flete estimado $10000, 
Margen de actualización 5,29% por proyección de incremento de precios. https://www.tierragro.com/products/bolsa-chaman-plugs-6-lt-x-16-unidades?_pos=1&amp;_sid=38c62a69f&amp;_ss=r</t>
  </si>
  <si>
    <t>10150000 </t>
  </si>
  <si>
    <t>Semilla de cebolla rama</t>
  </si>
  <si>
    <t>Bolsa x 2 gramos </t>
  </si>
  <si>
    <t>Precio promedio web, IVA 19%, Flete estimado $10000, 
Margen de actualización 5,29% por proyección de incremento de precios. https://www.tierragro.com/products/cebolla-larga-2-grs-fercon-semillas-jardin?_pos=1&amp;_sid=d605cb2ed&amp;_ss=r</t>
  </si>
  <si>
    <t>Semilla de Lechuga</t>
  </si>
  <si>
    <t>Precio promedio web, IVA 19%, Flete estimado $10000, 
Margen de actualización 5,29% por proyección de incremento de precios. https://www.tierragro.com/products/lechuga-white-boston-x-2-gr?_pos=1&amp;_sid=77373df4e&amp;_ss=r</t>
  </si>
  <si>
    <t>Semilla de cilantro</t>
  </si>
  <si>
    <t>Bolsa x 500 gramos </t>
  </si>
  <si>
    <t>El molino Verde</t>
  </si>
  <si>
    <t>Precio promedio web, IVA 19%, Flete estimado $10000, 
Margen de actualización 5,29% por proyección de incremento de precios. https://elmolinoverde.com/productos/semilla-de-cilantro-natural/</t>
  </si>
  <si>
    <t>Shiva</t>
  </si>
  <si>
    <t>Precio promedio web, IVA 19%, Flete estimado $10000, 
Margen de actualización 5,29% por proyección de incremento de precios. https://shiva.com.co/tienda/semillas-y-harinas/semilla-de-cilantro-patimorada-100-natural/</t>
  </si>
  <si>
    <t xml:space="preserve">Semilla De Lavanda </t>
  </si>
  <si>
    <t>Bolsa x  0.3 gramos </t>
  </si>
  <si>
    <t>Precio promedio web, IVA 19%, Flete estimado $10000, 
Margen de actualización 5,29% por proyección de incremento de precios. https://www.tierragro.com/products/lavanda-0-3-grs-fercon-semillas-jardin?srsltid=AfmBOopwf1WLRxzDQDHpCVww2xrqwdd_ea-Z2HgddOawrGd2KbvBL8qu</t>
  </si>
  <si>
    <t>Semilla de menta </t>
  </si>
  <si>
    <t>Bolsa x 0.1 gramos </t>
  </si>
  <si>
    <t>Precio promedio web, IVA 19%, Flete estimado $10000, 
Margen de actualización 5,29% por proyección de incremento de precios. https://www.tierragro.com/products/aromatica-menta-0-1-gr-fercon-semillas-jardin?_pos=2&amp;_sid=bc43cd9cc&amp;_ss=r</t>
  </si>
  <si>
    <t>Semilla de hierba buena</t>
  </si>
  <si>
    <t>Precio promedio web, IVA 19%, Flete estimado $10000, 
Margen de actualización 5,29% por proyección de incremento de precios. https://www.tierragro.com/products/hierbabuena-0-1-gr-fercon-semillas-jardin?_pos=4&amp;_sid=effa8a71b&amp;_ss=r</t>
  </si>
  <si>
    <t>Semilla de manzanilla</t>
  </si>
  <si>
    <t>Bolsa x 0.3 gramos </t>
  </si>
  <si>
    <t>Precio promedio web, IVA 19%, Flete estimado $10000, 
Margen de actualización 5,29% por proyección de incremento de precios. https://www.tierragro.com/products/aromatica-manzanilla-0-3-gr-fercon-semillas-jardin?_pos=1&amp;_sid=bf9779238&amp;_ss=r</t>
  </si>
  <si>
    <t>Semilla de caléndula</t>
  </si>
  <si>
    <t>Bolsa x 1 gramos </t>
  </si>
  <si>
    <t>Precio promedio web, IVA 19%, Flete estimado $10000, 
Margen de actualización 5,29% por proyección de incremento de precios. https://www.tierragro.com/products/flor-calendula-1-grs-fercon-semillas-jardin?_pos=2&amp;_sid=952b8b7c9&amp;_ss=r</t>
  </si>
  <si>
    <t>Semilla de albahaca</t>
  </si>
  <si>
    <t>Bolsa x 5 gramos </t>
  </si>
  <si>
    <t>Precio promedio web, IVA 19%, Flete estimado $10000, 
Margen de actualización 5,29% por proyección de incremento de precios. https://www.tierragro.com/products/albahaca-genovesa-2060?_pos=1&amp;_sid=ba70ba90d&amp;_ss=r</t>
  </si>
  <si>
    <r>
      <rPr>
        <sz val="11"/>
        <color rgb="FF000000"/>
        <rFont val="Calibri"/>
        <family val="2"/>
      </rPr>
      <t xml:space="preserve">MICORRIZAS BULTO X 50KG: Producto obtenido de la multiplicación de diferentes especies de hongos formadores de micorrizas arbusculares (HMA) de los géneros Glomus spp, Acaulospora spp, Entrophosfora spp, y Scutellospora spp.  Son inoculantes biológicos aptos para ser utilizados en diferentes cultivos, adaptados a diferentes propiedades del suelo; lo cual, les permite ser efectivos a través de un amplio espectro de condiciones agroecológicas. Nuestros inóculos están compuestos por varias estructuras infectivas del hongo como son esporas, vesículas, hifas y fragmentos de raíz colonizada, conocidas en la literatura como propágulos infectivos del hongo.
</t>
    </r>
    <r>
      <rPr>
        <b/>
        <sz val="11"/>
        <color rgb="FF000000"/>
        <rFont val="Calibri"/>
        <family val="2"/>
      </rPr>
      <t>Nota</t>
    </r>
    <r>
      <rPr>
        <sz val="11"/>
        <color rgb="FF000000"/>
        <rFont val="Calibri"/>
        <family val="2"/>
      </rPr>
      <t>: debe entregarse con ficha técnica.</t>
    </r>
  </si>
  <si>
    <t>Bulto X 50 Kg</t>
  </si>
  <si>
    <t>AGRO ACTIVO</t>
  </si>
  <si>
    <t>Precio promedio web, IVA 19%, Flete estimado $10000, 
Margen de actualización 5,29% por proyección de incremento de precios. https://agroactivocol.com/products/micorrizas-hongos-del-suelo?srsltid=AfmBOoqGP8ZTcUxkYMKy9grp3P7JPWtPZp1R6LpNkvgkImaNM5yktU9p</t>
  </si>
  <si>
    <t>Matera para invernadero</t>
  </si>
  <si>
    <t>Maceta Papel Orgánico Biodegradable X100und Plántulas 6x6cms</t>
  </si>
  <si>
    <t>Paquete x 100 unidades</t>
  </si>
  <si>
    <t>MERCADO LIBRE</t>
  </si>
  <si>
    <t>Precio promedio web, IVA 19%, Flete estimado $10000, 
Margen de actualización 5,29% por proyección de incremento de precios. https://www.mercadolibre.com.co/maceta-papel-organico-biodegradable-x100und-plantulas-6x6cms/up/MCOU2482846222?pdp_filters=item_id:MCO1335420087#is_advertising=true&amp;searchVariation=178667782152&amp;position=1&amp;search_layout=grid&amp;type=pad&amp;tracking_id=6ab1fd39-f0fa-4bf3-904e-6c93bfeb7f97&amp;is_advertising=true&amp;ad_domain=VQCATCORE_LST&amp;ad_position=1&amp;ad_click_id=NDA1NzhkZjMtNjVjMC00ZThiLWE1ZWEtYzVmMzcxOTUxYWNj</t>
  </si>
  <si>
    <t>Etiquetas Plásticas Para Plantas: 100 Unidades, Impermeables</t>
  </si>
  <si>
    <t xml:space="preserve">Paquete </t>
  </si>
  <si>
    <t xml:space="preserve">Precio promedio web, IVA 19%, Flete estimado $10000, 
Margen de actualización 5,29% por proyección de incremento de precios. https://www.mercadolibre.com.co/etiquetas-plasticas-para-plantas-100-unidades-impermeables/up/MCOU2426524654?pdp_filters=item_id:MCO2354903472#polycard_client=search-nordic&amp;position=35&amp;search_layout=grid&amp;type=item&amp;tracking_id=c6bee030-4aec-4b81-b9fb-173c0782d66b </t>
  </si>
  <si>
    <t>Kit de herramientas para jardinería X3 unidades. Incluye: (Pala, rastrillo, Palín) : * Medidas matera: 1 cm Largo x 1 cm Ancho x 20.5 cm Alto. * Peso: 42 g.* Volumen matera: .* Material: Metal, Madera.* Acabado textura: Lisa. * Color Acabado: Mate.</t>
  </si>
  <si>
    <t>Kit x3</t>
  </si>
  <si>
    <t>Kit x 3</t>
  </si>
  <si>
    <t>https://tumatera.co/products/kit-mini-jardin-herramientas-jardineria-x-3-unidades?srsltid=AfmBOorlin-2lXR2JXb4gzlOuTqxy-w3pOeac7BjEpacPhBlP7mXGcNh</t>
  </si>
  <si>
    <t>Asegurar y proteger los suministros</t>
  </si>
  <si>
    <t>Rollo malla plástica 12 x 12mm- 1mt x 30mt negra</t>
  </si>
  <si>
    <t>Rollo x 30 Metros</t>
  </si>
  <si>
    <t>Precio promedio web, IVA 19%, Flete estimado $10000, 
Margen de actualización 5,29% por proyección de incremento de precios. https://www.casaferretera.com/malla_plast-super-1mt_12x12mm_negrarollo_x_30_mts/p?srsltid=AfmBOor9lg4PmpaOzQFoC65w0NfC6ZnBqpHUvh87QslUuD7Z_uC1oKIx</t>
  </si>
  <si>
    <t>Jardinera en polietileno: Medidas matera: 70 cm Largo x 31 cm Ancho x 33 cm Alto.
* Peso: 2.5 kg.
* Material: Polietileno
* Acabado textura: Acanalado
* Color Acabado: Mate
* Fondo: Con orificios / drenaje de agua.</t>
  </si>
  <si>
    <t>HOMECENTER</t>
  </si>
  <si>
    <t>Precio promedio web, IVA 19%, Flete estimado $10000, 
Margen de actualización 5,29% por proyección de incremento de precios. https://www.homecenter.com.co/homecenter-co/product/339234/jardinera-polietileno-roja-70-x-30-x-33-cm/339234/</t>
  </si>
  <si>
    <t>Precio promedio web, IVA 19%, Flete estimado $10000, 
Margen de actualización 5,29% por proyección de incremento de precios. https://tumatera.co/collections/jardineras/products/jardinera-mayorista-mpk-703535a?variant=5161891954720</t>
  </si>
  <si>
    <t>Jardinera Plástica Rectangular Con Bandeja 45x17cm</t>
  </si>
  <si>
    <t>Viverosa</t>
  </si>
  <si>
    <t>Precio promedio web, IVA 19%, Flete estimado $10000, 
Margen de actualización 5,29% por proyección de incremento de precios. https://www.viverosa.com.co/maceta-plastica-rectangular-de-45cms-largo-plato?srsltid=AfmBOoq7WISm9G8Yka0R-znGUDnPiNe1qANY65KA5jWTHfacXkuAXE9z&amp;variant_id=88747487</t>
  </si>
  <si>
    <t>Fercon</t>
  </si>
  <si>
    <t>Precio promedio web, IVA 19%, Flete estimado $10000, 
Margen de actualización 5,29% por proyección de incremento de precios. https://fercon.com.co/categoria-producto/materas/ecomateras/</t>
  </si>
  <si>
    <t>Sustrato De Coco Chip x 6 L</t>
  </si>
  <si>
    <t>Bolsa x 6 litros</t>
  </si>
  <si>
    <t>Precio promedio web, IVA 19%, Flete estimado $10000, 
Margen de actualización 5,29% por proyección de incremento de precios. https://www.tierragro.com/products/sustrato-de-coco-chip-x-6-lt-palpmino-tierragro?srsltid=AfmBOootnWzPnncGcPep5XvkWpesL2qT4LZq_KuDq__4VYFOOEteXk3x</t>
  </si>
  <si>
    <t>Maceta tipo canasto: Canasta De Colgar Para Plantas Más Nido De Coco x20 cm Diámetro</t>
  </si>
  <si>
    <t>Precio promedio web, IVA 19%, Flete estimado $10000, 
Margen de actualización 5,29% por proyección de incremento de precios. https://www.viverosa.com.co/canasta-de-colgar-para-plantas-nido-de-coco-x20-cm-diametro?variant_id=88784656</t>
  </si>
  <si>
    <t>Sustrato Vermiculita (empaque por 3 Kilos/ 10 litros)</t>
  </si>
  <si>
    <t>Paquete x 10 litros</t>
  </si>
  <si>
    <t>Sembramos</t>
  </si>
  <si>
    <t>Se sugiere usar el valor de la cotización de apisajismo consentio</t>
  </si>
  <si>
    <t>Precio promedio web, IVA 19%, Flete estimado $10000, 
Margen de actualización 5,29% por proyección de incremento de precios. https://sembramos.com.co/sustrato-vermiculita.html/?srsltid=AfmBOory-0_gptKiS76aFgLPgr2O8cOVuMR0hocKUvRvkr2nY2ntPrZR</t>
  </si>
  <si>
    <t>Sustrato Perlita   (empaque por 5kilos/ 10 litros)</t>
  </si>
  <si>
    <t>Precio promedio web, IVA 19%, Flete estimado $10000, 
Margen de actualización 5,29% por proyección de incremento de precios. https://sembramos.com.co/sustrato-de-perlita.html/?srsltid=AfmBOooJLfCzyFf46Ej_7wgZYvwE1SqFOzHsXOvLgmBojGPnfSYrmCHW</t>
  </si>
  <si>
    <t>Kit de suculentas x 12 plantúlas</t>
  </si>
  <si>
    <t>Precio promedio web, IVA 19%, Flete estimado $10000, 
Margen de actualización 5,29% por proyección de incremento de precios. . https://www.mercadolibre.com.co/kit-12-suculentas-variedades-comunes-recordatorios/up/MCOU2410168066#polycard_client=search-desktop&amp;search_layout=grid&amp;position=6&amp;type=product&amp;tracking_id=c9b78a58-0199-4344-b230-61e5bb85d660&amp;wid=MCO1298407475&amp;sid=search</t>
  </si>
  <si>
    <t xml:space="preserve">Enmienda Triple 30 x 50 kg  </t>
  </si>
  <si>
    <t>Bulto x 50KG</t>
  </si>
  <si>
    <t>Tierragro</t>
  </si>
  <si>
    <t>Precio promedio web, IVA 19%, Flete estimado $10000, 
Margen de actualización 5,29% por proyección de incremento de precios. https://www.tierragro.com/products/enmienda-triple-30-rio-claro-x-50-kgs-rio-claro-fertilizantes-jardineria?srsltid=AfmBOop69BrTfvvmV92_eRIPXdebwnDP_gctdRQUEaBI9vzpQesZ4NZW</t>
  </si>
  <si>
    <t>Lupa 40X con luz UV y luz led, Lupa plegable de bolsillo de  40x 25mm. Lupa de metal con 40 unidades de lupa iluminada de metal completo.</t>
  </si>
  <si>
    <t>astromania</t>
  </si>
  <si>
    <t xml:space="preserve">Precio promedio web, IVA 19%, Flete estimado $10000, 
Margen de actualización 5,29% por proyección de incremento de precios. https://astromania.co/microscopios/962-lupa-40x25-para-geologia-joyeria-led-uv.html </t>
  </si>
  <si>
    <t>Aparatos de dispersión y pulverización para la agricultura</t>
  </si>
  <si>
    <t>Fumigadora Manual 20 Litros.
Capacidad total: 20 L. con boquilla regulable. 
Tipo: Pulverizadores manuales
Ancho: 43 cm -Alto: 59 cm.  Material: Polietileno/Polipropileno</t>
  </si>
  <si>
    <t>Precio promedio web, IVA 19%, Flete estimado $10000, 
Margen de actualización 5,29% por proyección de incremento de precios. . https://www.mercadolibre.com.co/fumigadora-manual-20-litros-royal-condor-la-activa-color-blanco/p/MCO22722399</t>
  </si>
  <si>
    <t>Plántulas varias (hortalizas)</t>
  </si>
  <si>
    <t>https://sembramos.com.co/venta-de-plantas-de-interior/plantulas.html/?srsltid=AfmBOopPawFOfwGFFqZ5uDDba7TikHLDThkWOtUQwJGGINfe4Uco2209</t>
  </si>
  <si>
    <t>Huerta Madera Rectangular Vertical 9 Plantas 60x24x120cm Madera Natural. Dimensiones
60 cm x 24 cm x 100 cm alto. características. Madera sellada e impermeabilizada: Capacidad volumétrica: 45900. Alto (cm): 120 cm. Ancho (cm):24 cm.Largo (cm): 60 cm.</t>
  </si>
  <si>
    <t>Precio promedio web, IVA 19%, Flete estimado $10000, 
Margen de actualización 5,29% por proyección de incremento de precios. https://www.homecenter.com.co/homecenter-co/product/502772/huerta-madera-rectangular-vertical-9-plantas-60x24x120cm-madera-natural/502772/</t>
  </si>
  <si>
    <t>Cama de jardín elevada 45" jaulas jardinera de tomate + trellis para trepar plantas vegetales. (caja, más los tres niveles de elevación y las bases para cada nivel).</t>
  </si>
  <si>
    <r>
      <rPr>
        <sz val="11"/>
        <color rgb="FF0563C1"/>
        <rFont val="Calibri"/>
        <family val="2"/>
      </rPr>
      <t xml:space="preserve">Precio promedio web, IVA 19%, Flete estimado $10000, 
</t>
    </r>
    <r>
      <rPr>
        <u/>
        <sz val="11"/>
        <color rgb="FF0563C1"/>
        <rFont val="Calibri"/>
        <family val="2"/>
      </rPr>
      <t xml:space="preserve">https://www.mercadolibre.com.co/jardinera-tipo-jaula-de-cama-de-jardin-elevada-con-enrejado/p/MCO2057100620?matt_tool=19390127&amp;utm_source=google_shopping&amp;utm_medium=organic&amp;pdp_filters=item_id%3AMCO3434677170&amp;from=gshop 
</t>
    </r>
  </si>
  <si>
    <t>Bolsa para Vivero 15x20cm 100 Unidades</t>
  </si>
  <si>
    <t>Paquete x100 unidades</t>
  </si>
  <si>
    <t>https://www.homecenter.com.co/homecenter-co/product/158144/bolsa-para-vivero-15x20cm-100-unidades/158144/?kid=dis_adi_1435635&amp;gad_source=1&amp;gad_campaignid=23611073922&amp;gbraid=0AAAAADt6wnoK_kLUKP8Z31VMPGE4XbSuP&amp;gclid=EAIaIQobChMIs4nj_YzdkwMV_K5aBR147xRrEAQYASABEgLJU_D_BwE</t>
  </si>
  <si>
    <t>Relación de elementos a cotizar (información suministrada por el Centro de Formación)</t>
  </si>
  <si>
    <t>Sumatoria  total de ítems ($)</t>
  </si>
  <si>
    <t>Ítem</t>
  </si>
  <si>
    <r>
      <t xml:space="preserve">Presentación
</t>
    </r>
    <r>
      <rPr>
        <b/>
        <sz val="11"/>
        <color rgb="FFC00000"/>
        <rFont val="Calibri"/>
        <family val="2"/>
      </rPr>
      <t xml:space="preserve">
</t>
    </r>
    <r>
      <rPr>
        <b/>
        <i/>
        <sz val="8"/>
        <color rgb="FFC00000"/>
        <rFont val="Calibri"/>
        <family val="2"/>
      </rPr>
      <t>Escoger Lista</t>
    </r>
  </si>
  <si>
    <t>Media
Armónica</t>
  </si>
  <si>
    <t>Desviación Estándar</t>
  </si>
  <si>
    <t>Protección contra incendios</t>
  </si>
  <si>
    <t>Se sugiere trabajar con el valor promedio</t>
  </si>
  <si>
    <t>S e usa valor de proceso de compra año 2025+ IPC 2026 (5,29).   https://community.secop.gov.co/Public/Tendering/OpportunityDetail/Index?noticeUID=CO1.NTC.8172419&amp;isFromPublicArea=True&amp;isModal=False</t>
  </si>
  <si>
    <t>Isein</t>
  </si>
  <si>
    <t>Se usa cotización del roveedor (proceso de compra del año 2025)+ IPC 2026 (5,29)</t>
  </si>
  <si>
    <t>Recarga de extintor a base de CO₂ – Capacidad nominal: 2.3 kg. Conforme a las especificaciones técnicas establecidas por las normas IRAM aplicables al agente extintor y al extintor.
Las características del equipo a recargar son las siguientes: Capacidad nominal: 2.3 kg,  Peso cargado: 20 kg, Altura: 790 mm, Ancho: 310 mm, Profundidad: 140 mm, Tiempo de descarga: 14 s, Alcance: No especificado.
Largo de la manguera: 900 mm,Rango de temperatura de operación: No especificado, Presión de servicio: 15 MPa
Presión de ensayo: 25 MPa, Normas aplicables: Norma IRAM para agente extintor y Norma IRAM para extintores de CO₂.
Nota obligatoria para el proveedor:  El ítem se debe entregar con un certificado de recarga que incluya la siguiente información:
Fecha de la recarga
Nombre de la empresa que realiza el servicio
Cantidad total de extintores recargados
Tamaño (capacidad) de cada extintor
Cantidad de libras o galones correspondiente a cada unidad
Si el extintor se entrega lleno o vacío
Qué se realizó con el contenido del extintor en caso de que este fuese entregado lleno
El agente utilizado en la recarga y la cantidad exacta</t>
  </si>
  <si>
    <t>Tolboxferretería</t>
  </si>
  <si>
    <t>Recarga de extintor de Polvo Seco ABC – Capacidad nominal: 10 lb.  Se requiere la recarga de extintores de Polvo Seco ABC (10 lb), utilizando Fosfato Monoamónico como agente extintor y Nitrógeno (N₂) como agente expulsor.
El servicio debe ajustarse a las especificaciones del fabricante y a las normas técnicas aplicables.
Las características del equipo a recargar son las siguientes: Capacidad nominal: 10 lb,  Agente extintor: Fosfato Monoamónico, Agente expulsor: Nitrógeno (N₂),Cilindro: Lámina de acero C20 recubierta con pintura electrostática amarilla, Indicador de presión: Manómetro, Sistema de accionamiento: Rápido (manija y palanca), Rotulado del cilindro: Salud y Seguridad Laboral FMQ (SYS FMQ), Tiempo de descarga: 10 a 20 s, Alcance de descarga: 1 a 3 m. Porcentaje de descarga: Hasta 97%.
Nota obligatoria para el proveedor: El ítem se debe entregar con un certificado de recarga, el cual debe incluir como mínimo:
Fecha de la recarga
Nombre de la empresa que realiza el servicio
Cantidad total de extintores recargados
Tamaño (capacidad) de cada extintor
Cantidad de libras o galones correspondiente a cada unidad
Si el extintor se entrega lleno o vacío
Qué se realizó con el contenido del extintor en caso de haberse entregado lleno</t>
  </si>
  <si>
    <t>Seguridad y protección personal</t>
  </si>
  <si>
    <t>Rodillera Industrial:  contienen costuras reforzadas y materiales resistentes que duran mucho tiempo y proporcionan la capacidad de trabajar en cualquier superficie dura.  CARACTERISTICAS:COJIN DE GEL: Doble grosor y espuma de alta densidad, proporciona doble comodidad y protección. PVC: Ayuda a reducir la presión sobre las rodillas de los suelos, mampostería, mantenimiento de la casa, instalaciones de alfombras y cualquier trabajo pesado.
BANDA AJUSTABLE: La banda se ajusta al tamaño de tu pierna, fáciles de quitar y poner.  NORMATIVIDAD:  EN-166 : 2001 / Z87.1 : 2020. USOS: Industria en general,  Visitas a Planta, Manufactura en General, Construcción, Mantenimiento en general. Reparación y mantenimiento automotriz. Empleo de herramientas e instrumentos. Mantenimiento de alfombras.</t>
  </si>
  <si>
    <t>Par</t>
  </si>
  <si>
    <t>Internet: Ferresol</t>
  </si>
  <si>
    <t>https://www.ferresol.co/product-page/rodilleras-industriales-knee-pro
Valor web + IVA 19%+ Flete estimado de 10000+ 5 margen de actualización</t>
  </si>
  <si>
    <t>Internet: DonDotación</t>
  </si>
  <si>
    <t>Productos de fisioterapia y rehabilitación ocupacional</t>
  </si>
  <si>
    <t>Pelota antiestres del planeta tierra. Desestresante con forma de planeta tierra.
Material: PU (Poliuretano).
Medidas: Diámetro: 6 cm
Área de marca: 3 x 1,2 cm.
Técnica de marca: Impresión UV a full color 10 x 7 cm.
Empaque individual: Cada pieza en bolsa OPP.</t>
  </si>
  <si>
    <t>Markados tienda</t>
  </si>
  <si>
    <t>https://markados.com.co/antiestres/
Valor web+ IVA 19%+ 5% margen de actualización + Flete estimado de 10000</t>
  </si>
  <si>
    <t>Publicitar</t>
  </si>
  <si>
    <t>https://publicitar.com.co/tienda/antiestres/antiestres-antiestres/antiestres-planeta-tierra/?srsltid=AfmBOooyu4MV8WRqZP54GFvI7miQzLODedjc0zUtiiwlTxEB8LNvhhNz
Valor web+ IVA 19%+ 5% margen de actualización + Flete estimado de 10000</t>
  </si>
  <si>
    <t>Herramientas manuales</t>
  </si>
  <si>
    <t>Kit de herramientas en práctico estuche de bambú que incluye: 1 pinza con cortafrío, 2 destornilladores de precisión, 1 soporte con 6 puntas ajustables de diferentes formas cada uno, 4 copas y 1 conector. Versátil para diferentes tipos de trabajo.
Material: Bambú, Acero Inoxidable
Medidas: Diámetro: 16.9 cm x Alto: 3.2 cm
Área de marca: Tampo: 7 cm x 4 cm. Para parche: 5,5 cm x 5 cm. Screen: 12 cm diametro. Láser: 5 cm x 3 cm. Tamaño mas grande consultar con su asesora
Técnica de marca: Screen o serigrafía. Láser CO2 maximo 4 x 4 cm DTF UV a full color maximo 10 x 14 cm personalizado.
Empaque: 20 Unidades en caja máster: Largo: 40 cm x Ancho: 21 cm x Alto: 40 cm. Peso Bruto: 14.3 Kg. Peso Neto: 13 Kg. Empaque individual: Cada pieza en caja blanca + Bolsa plástica.</t>
  </si>
  <si>
    <t>https://publicitar.com.co/tienda/herramientas/metros/llavero-mini-flexometro-de-bolsillo/. 
Valor web+IVA 19%+5%margen de actualización+ Flete estimado de 10000</t>
  </si>
  <si>
    <t>Promall</t>
  </si>
  <si>
    <t>https://em2c.com.co/producto/llavero-mini-flexometro-de-bolsillo/.
Valor web+IVA 19%+5%margen de actualización+ Flete estimado de 10000</t>
  </si>
  <si>
    <t>Ayudas didácticas profesionales y de desarrollo y materiales, accesorios y suministros</t>
  </si>
  <si>
    <t>Alcancia en PVC con forma de cerdito.
Material: PVC.
Medidas: 10 cm x 8 cm x 7 cm
Área de marca: 5 cm
(Para fomentar los estilos de vida saludables en torno al manejo del dinero y el ahorro)</t>
  </si>
  <si>
    <t>https://publicitar.com.co/tienda/variedades/alcancias/alcancia-mini-piggy/?srsltid=AfmBOorJPc0yLb6a-n1rWnCUOIWGcIPmtp5QYyp2QYy-rXTmqE3F1m-f
Valor web+IVA 19%+5%margen de actualización+ Flete estimado de 10000</t>
  </si>
  <si>
    <t>https://markados.com.co/alcancia-mini-piggy/
Valor web+IVA 19%+5%margen de actualización+flete estimado de 10000</t>
  </si>
  <si>
    <t>Artículos para bebidas</t>
  </si>
  <si>
    <t xml:space="preserve">Vaso de hidratación tipo Vaso plegable en polipropileno de trigo con capacidad de 220ml. Incluye carabinero. Medidas: Cerrado: 3.5 cm x 6.5 cm. Abierto: 8.5 cm x 6.5 cm. </t>
  </si>
  <si>
    <t>Se sigiere trabajar con el valor de Publictar</t>
  </si>
  <si>
    <r>
      <rPr>
        <u/>
        <sz val="11"/>
        <color rgb="FF0563C1"/>
        <rFont val="Calibri"/>
        <family val="2"/>
        <scheme val="minor"/>
      </rPr>
      <t xml:space="preserve">https://markados.com.co/vaso-plegable-eco/
</t>
    </r>
    <r>
      <rPr>
        <sz val="11"/>
        <color rgb="FF0563C1"/>
        <rFont val="Calibri"/>
        <family val="2"/>
        <scheme val="minor"/>
      </rPr>
      <t>Valor web+IVA 19%+5%margen de actuaización+flete estimado 10000</t>
    </r>
  </si>
  <si>
    <r>
      <rPr>
        <u/>
        <sz val="11"/>
        <color rgb="FF0563C1"/>
        <rFont val="Calibri"/>
        <family val="2"/>
        <scheme val="minor"/>
      </rPr>
      <t xml:space="preserve">https://publicitar.com.co/tienda/salud-y-belleza/pastilleros/vaso-plegable-eco/?srsltid=AfmBOorzkbjdwb6sp-R8Rg7zFqO0DV7a5x9jHzFj1rcMgHjs3W_abJwn
</t>
    </r>
    <r>
      <rPr>
        <sz val="11"/>
        <color rgb="FF0563C1"/>
        <rFont val="Calibri"/>
        <family val="2"/>
        <scheme val="minor"/>
      </rPr>
      <t>Valoe web+IVA 19%+5%margen de actualización+flete estimado de 10000</t>
    </r>
  </si>
  <si>
    <t>Acuarela Metalizada</t>
  </si>
  <si>
    <t>Especificación:
Tipo de artículo: pintura de
acuarela Material del producto: pintura de acuarela
Especificaciones: 12 colores en una caja, un color en uno, 2 cajas en total
Aplicación del producto: colorear, escribir, pintar, manicura, etc.</t>
  </si>
  <si>
    <t>Paquete x 24</t>
  </si>
  <si>
    <t>INVERSIONES Y SUMINISTROS RL SAS</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</si>
  <si>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https://www.mercadolibre.com.co/juego-de-pinturas-de-acuarela-24-unidades-color-metalizado/p/MCO2061844641#polycard_client=search-desktop&amp;search_layout=grid&amp;position=2&amp;type=product&amp;tracking_id=f4810b4e-15cc-46fc-a69a-024be8ff4556&amp;wid=MCO3332172582&amp;sid=search</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</si>
  <si>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</si>
  <si>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MERCADOLIBRE</t>
  </si>
  <si>
    <t>https://www.mercadolibre.com.co/juego-de-pinturas-de-acuarela-24-unidades-color-metalizado/p/MCO2061844641#polycard_client=search-desktop&amp;search_layout=grid&amp;position=2&amp;type=product&amp;tracking_id=f4810b4e-15cc-46fc-a69a-024be8ff4556&amp;wid=MCO3332172582&amp;sid=search</t>
  </si>
  <si>
    <t>Acuarelas</t>
  </si>
  <si>
    <t>Contenido: 73 piezas
Con 50 colores brillantes y 22 colores metálicos
5 recipientes para mezclar
1 cepillo de agua redondo medio</t>
  </si>
  <si>
    <t>Set x 73 colores</t>
  </si>
  <si>
    <t>PANAMERICANA</t>
  </si>
  <si>
    <t>https://www.panamericana.com.co/set-de-acuarelas-con-estuche-x-73-piezas-681672/p?srsltid=AfmBOooM9xXRjE724Bj-lEbBL3_oBSg9_5uIG0MyiCpzVGxWskGrcdwa
https://www.amazon.es/Signature-brillantes-met%C3%A1licos-transl%C3%BAcido-aficionados/dp/B0CTC7MNLW?th=1&amp;currency=COP</t>
  </si>
  <si>
    <t>https://www.panamericana.com.co/set-de-acuarelas-con-estuche-x-73-piezas-681672/p?srsltid=AfmBOooM9xXRjE724Bj-lEbBL3_oBSg9_5uIG0MyiCpzVGxWskGrcdwa</t>
  </si>
  <si>
    <t>AMAZON</t>
  </si>
  <si>
    <t>https://www.amazon.es/Signature-brillantes-met%C3%A1licos-transl%C3%BAcido-aficionados/dp/B0CTC7MNLW?th=1&amp;currency=COP</t>
  </si>
  <si>
    <t>Aerosoles de colores</t>
  </si>
  <si>
    <t>Colores surtidos , 6 colores, secado rapido, sin plomo, contenido de 400 ml</t>
  </si>
  <si>
    <t>DISTRIBUIDORA PAISALANDIA</t>
  </si>
  <si>
    <t>https://mayoristapaisalandia.com/products/pintura-en-aerosol-400-ml-spray-colors?srsltid=AfmBOoppmIvBlCKW5R5GQK7gXksS8qzvJD06aBRcsis8HUu8BxxcGNR9
https://ferreteriaaldia.com/producto/aerocolor-pintura-multisuperficie-en-aerosol-pintuco/</t>
  </si>
  <si>
    <t>https://mayoristapaisalandia.com/products/pintura-en-aerosol-400-ml-spray-colors?srsltid=AfmBOoppmIvBlCKW5R5GQK7gXksS8qzvJD06aBRcsis8HUu8BxxcGNR9</t>
  </si>
  <si>
    <t>FERRETERIA AL DÍA</t>
  </si>
  <si>
    <t>https://ferreteriaaldia.com/producto/aerocolor-pintura-multisuperficie-en-aerosol-pintuco/</t>
  </si>
  <si>
    <t>Alfileres de cabeza redonda</t>
  </si>
  <si>
    <t>Similares a los alfileres de costura, pero con una cabeza redonda más grande. Puedes comprar alfileres con cabeza de plástico de colores, más económicos, que son fáciles de identificar en tu trabajo, o alfileres con cabeza de vidrio, que son útiles porque puedes plancharlos por encima sin que se derritan.
Contenido: caja x 350 unidades
Material: Acero Niquelado con Cabeza de Plástico.
Extra fino 0.5mm
Tamaño 17- 2.7 mm cabeza de colores
12LA</t>
  </si>
  <si>
    <t>LaMina</t>
  </si>
  <si>
    <t>https://www.lamina.com.co/products/alfiler-dritz-cabeza-colores-12la?srsltid=AfmBOoqZhHxAquiyGM0kME0yFXquf0k8Z8GFqiZiE5NQGwwn_zXjj3Z2
https://www.eaosd-tienda.com/caja-de-alfileres-de-cabeza-redonda-grandes</t>
  </si>
  <si>
    <t>https://www.lamina.com.co/products/alfiler-dritz-cabeza-colores-12la?srsltid=AfmBOoqZhHxAquiyGM0kME0yFXquf0k8Z8GFqiZiE5NQGwwn_zXjj3Z2</t>
  </si>
  <si>
    <t>Escuela de Artes y Oficios Santo Domingo</t>
  </si>
  <si>
    <t>https://www.eaosd-tienda.com/caja-de-alfileres-de-cabeza-redonda-grandes</t>
  </si>
  <si>
    <t>Alfileres de fijacion para seda</t>
  </si>
  <si>
    <t>Alfiler extrafino diseñado para coser seda y otras telas delicadas. Los alfileres son muy afilados y bastante largos para evitar que se caigan y permiten usar menos alfileres para cubrir la tela y evitar desgarros y enganches.
Caja: 100 unidades
Largo del alfiler: 48mm
grosor: 0,5 mm</t>
  </si>
  <si>
    <t>https://www.mercadolibre.com.co/alfileres-de-seda-caja-100-por-paquete/up/MCOU3409180777?matt_tool=19390127&amp;utm_source=google_shopping&amp;utm_medium=organic&amp;pdp_filters=item_id%3AMCO1667896257&amp;from=gshop
https://www.amazon.com/-/es/Clover-Alfileres-seda-caja-paquete/dp/B00168241S</t>
  </si>
  <si>
    <t>https://www.mercadolibre.com.co/alfileres-de-seda-caja-100-por-paquete/up/MCOU3409180777?matt_tool=19390127&amp;utm_source=google_shopping&amp;utm_medium=organic&amp;pdp_filters=item_id%3AMCO1667896257&amp;from=gshop</t>
  </si>
  <si>
    <t>https://www.amazon.com/-/es/Clover-Alfileres-seda-caja-paquete/dp/B00168241S</t>
  </si>
  <si>
    <t>Alfileres Pasadores en T</t>
  </si>
  <si>
    <t>Los alfileres en T tienen una cabeza en forma de T, por lo que son ideales para sujetar telas a través de ojales, etc. También son útiles para sujetar telas de fundas juntas al hacer tapicería, coser con telas resistentes y bloquear encajes.
Material: Acero Inoxidable
Caja: 100 unidades
Medida del alfiler: 5 cm o 2" pulgadas</t>
  </si>
  <si>
    <t>Biologika</t>
  </si>
  <si>
    <t>https://biologika.co/products/alfiler-en-t-medida?variant=43108649500827
https://www.mercadolibre.com.co/alfileres-en-t-paquete-de-100-pines-de-5-cm-para-tejer/up/MCOU2963516712?pdp_filters=item_id:MCO2800564918</t>
  </si>
  <si>
    <t>https://biologika.co/products/alfiler-en-t-medida?variant=43108649500827</t>
  </si>
  <si>
    <t>https://www.mercadolibre.com.co/alfileres-en-t-paquete-de-100-pines-de-5-cm-para-tejer/up/MCOU2963516712?pdp_filters=item_id:MCO2800564918</t>
  </si>
  <si>
    <t>Alfombra de Entrenamiento de Levantamiento Manual de Cargas</t>
  </si>
  <si>
    <t>Levantamiento de Cargas. Mejora tus capacitaciones en ergonomía y cuidado de la espalda. Entrenamiento dinámico y visual. Enseña a proteger la espalda y prevenir lesiones.</t>
  </si>
  <si>
    <t>HotmartMarketplace</t>
  </si>
  <si>
    <t>https://hotmart.com/es/marketplace/productos/alfombra-de-entrenamiento-de-levantamiento-manual-de-cargas/Q83532746K?ref=X84051074Y
https://ludoprevencionperu.com/producto/alfombra-de-entrenamiento-de-levantamiento-manual-de-cargas/?srsltid=AfmBOorVjidFSB7uDYDGguxbfddwYO85uzXzH-qjbKXkLK3hsxNTPtaP</t>
  </si>
  <si>
    <t>https://hotmart.com/es/marketplace/productos/alfombra-de-entrenamiento-de-levantamiento-manual-de-cargas/Q83532746K?ref=X84051074Y</t>
  </si>
  <si>
    <t>Ludoprevención</t>
  </si>
  <si>
    <t>https://ludoprevencionperu.com/producto/alfombra-de-entrenamiento-de-levantamiento-manual-de-cargas/?srsltid=AfmBOorVjidFSB7uDYDGguxbfddwYO85uzXzH-qjbKXkLK3hsxNTPtaP</t>
  </si>
  <si>
    <t>bandas de caucho no muy rigidas x 1000 unidades</t>
  </si>
  <si>
    <t>PAQUETE X 1000</t>
  </si>
  <si>
    <t>PAPYSER</t>
  </si>
  <si>
    <t>https://www.papyser.com/tienda/producto/banda-caucho-bolsa-x-1000-g-calibre-18-natural-60-mm?srsltid=AfmBOoo2qQyeZi49gjat7N9p0brUMZgT_I13iJOp1KN4qU2_iPEZ_5IH
https://andima.com.co/producto/banda-de-caucho-bolsa-x-1000-gr/</t>
  </si>
  <si>
    <t>https://www.papyser.com/tienda/producto/banda-caucho-bolsa-x-1000-g-calibre-18-natural-60-mm?srsltid=AfmBOoo2qQyeZi49gjat7N9p0brUMZgT_I13iJOp1KN4qU2_iPEZ_5IH</t>
  </si>
  <si>
    <t>ANDIMA</t>
  </si>
  <si>
    <t>https://andima.com.co/producto/banda-de-caucho-bolsa-x-1000-gr/</t>
  </si>
  <si>
    <t>Banderines</t>
  </si>
  <si>
    <t>Banderines elaborados en material plástico. Paquete por 10 metros. Paquete x 10 metros</t>
  </si>
  <si>
    <t>EQUISUMINISTROS Y CONSTRUCCIONES SAS</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</si>
  <si>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https://ohhiparty.com/products/banderin-plastico-reutilizable-largo-10-metros?srsltid=AfmBOopxBuZccRotyPbdDBBPnkNjX403Y9rPwzUZj3qJVtrQaTHAKFC-</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</si>
  <si>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t>
  </si>
  <si>
    <t>Ohhiparty</t>
  </si>
  <si>
    <t>https://ohhiparty.com/products/banderin-plastico-reutilizable-largo-10-metros?srsltid=AfmBOopxBuZccRotyPbdDBBPnkNjX403Y9rPwzUZj3qJVtrQaTHAKFC-</t>
  </si>
  <si>
    <t xml:space="preserve">Barras de silicona </t>
  </si>
  <si>
    <t>Silicona en barras para usar en pistola caliente. paquete x 5</t>
  </si>
  <si>
    <t>Precios obtenidos por consulta de historicos de contrato de materiales de formación 2024 y 2025, aumentando los IPC correspondientes para el año 2025 y 2026</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</si>
  <si>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t>
  </si>
  <si>
    <t>Bateria Pila AA</t>
  </si>
  <si>
    <t> Unidad de 1.5V es perfecta para aparatos electrónicos de bajo consumo como controles remotos, relojes, audífonos y más. X 4 Unidades</t>
  </si>
  <si>
    <t>Paquete x 4</t>
  </si>
  <si>
    <t>Colmetecno</t>
  </si>
  <si>
    <t>https://colmetecno.com/products/blister-4-pilas-baterias-alcalinas-1hora-doble-aa-1-5v-gar136?variant=47524610572440&amp;country=CO&amp;currency=COP&amp;utm_medium=product_sync&amp;utm_source=google&amp;utm_content=sag_organic&amp;utm_campaign=sag_organic&amp;srsltid=AfmBOorrtRsk6UvS_9rQgdgTJIzfq4ScsVyhwcItdOYc6XaQaanQDuIeu3s
https://www.exito.com/bateria-pila-alkalina-aa-x-4-unidades-panasonic-100075274-mp/p</t>
  </si>
  <si>
    <t>https://colmetecno.com/products/blister-4-pilas-baterias-alcalinas-1hora-doble-aa-1-5v-gar136?variant=47524610572440&amp;country=CO&amp;currency=COP&amp;utm_medium=product_sync&amp;utm_source=google&amp;utm_content=sag_organic&amp;utm_campaign=sag_organic&amp;srsltid=AfmBOorrtRsk6UvS_9rQgdgTJIzfq4ScsVyhwcItdOYc6XaQaanQDuIeu3s</t>
  </si>
  <si>
    <t>ÉXITO</t>
  </si>
  <si>
    <t>https://www.exito.com/bateria-pila-alkalina-aa-x-4-unidades-panasonic-100075274-mp/p</t>
  </si>
  <si>
    <t>Bisturí De Precisión Punta De Lanza - Exacto + 6 Cuchillas</t>
  </si>
  <si>
    <t>Bisturí Punta de Lanza para corte de manualidades en PBC, plastico, papel, durable, mango en aluminio con diseño antideslizante con 6 cuchillas reemplazables, borde de cuchilla afilada, longitud: aproximadamente 14.cms, diámetro: aprox 0.8cm, color: Plata.</t>
  </si>
  <si>
    <t>BISTURI GRANDE METALICO</t>
  </si>
  <si>
    <t>Bisturí Metálico Grande Con Bloqueo y mango ergonómico, hecho en aluminio de cuchilla metálica fija para corte de precisión.</t>
  </si>
  <si>
    <t>TODO EN PAPELERIA</t>
  </si>
  <si>
    <t>https://todoenpapeleria.com.co/producto/bisturi-metalico-grande/
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</si>
  <si>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https://todoenpapeleria.com.co/producto/bisturi-metalico-grande/</t>
  </si>
  <si>
    <t xml:space="preserve">14111514
</t>
  </si>
  <si>
    <t>BITACORA BOND 115 gr 1/2 CARTA ARTISAN</t>
  </si>
  <si>
    <t>BITACORA ARGOLLADA, EN PAPEL BOND 115 gr, PASTA DURA COLOR AMARILLO ORO, TAMANO 1/2 CARTA</t>
  </si>
  <si>
    <t>UNIDAD</t>
  </si>
  <si>
    <t>OCCIDENTAL PAPELERIA</t>
  </si>
  <si>
    <t>https://occidentepapeleria.com/producto/bitacora-bond-115-gr-1-2-carta-artisan-amarillo-oro/
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</si>
  <si>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https://occidentepapeleria.com/producto/bitacora-bond-115-gr-1-2-carta-artisan-amarillo-oro/</t>
  </si>
  <si>
    <t>Bloc de dibujo en opalina</t>
  </si>
  <si>
    <t>Bloc de dibujo tipo bitacora en opalina de 180g, de 50 hojas sin rallas, pasta dura, argollada, tamaño A4 de 21cmx29,7cm. .</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</si>
  <si>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https://www.homecenter.com.co/homecenter-co/product/542946/bitacora-cartulina-opalina-carta/542946/</t>
  </si>
  <si>
    <t>https://www.homecenter.com.co/homecenter-co/product/542946/bitacora-cartulina-opalina-carta/542946/</t>
  </si>
  <si>
    <t>Block media carta</t>
  </si>
  <si>
    <t>Block Apuntes 1/2 Carta Blanco</t>
  </si>
  <si>
    <t>PAPELERÍA MODELO</t>
  </si>
  <si>
    <t>https://www.papeleriamodelo.com/producto/block-apuntes-1-2-carta-blanco/
https://transcribimos.com.co/producto/block-bond-sin-rayas-1-2-carta-50-hojas-ff/</t>
  </si>
  <si>
    <t>https://www.papeleriamodelo.com/producto/block-apuntes-1-2-carta-blanco/</t>
  </si>
  <si>
    <t>Transcribimos</t>
  </si>
  <si>
    <t>https://transcribimos.com.co/producto/block-bond-sin-rayas-1-2-carta-50-hojas-ff/</t>
  </si>
  <si>
    <t>Block Papel Mantequilla 1/8</t>
  </si>
  <si>
    <t>Características : Papel de alta transparencia, blanqueado especial para trabajos a tinta, bosquejos y croquis. El indicado para el dibujo y diseño técnico</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</si>
  <si>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https://garabatospapeleria.com/productos/block-finlandes-mantequilla-1-8-41-gr-40h-canson-usmrf/?srsltid=AfmBOorbaWZHNmYuVCFzfwLMzf4EYnanVBlIBfU7QIIp3MAZNQpmeIxN</t>
  </si>
  <si>
    <t>GARABATOS</t>
  </si>
  <si>
    <t>https://garabatospapeleria.com/productos/block-finlandes-mantequilla-1-8-41-gr-40h-canson-usmrf/?srsltid=AfmBOorbaWZHNmYuVCFzfwLMzf4EYnanVBlIBfU7QIIp3MAZNQpmeIxN</t>
  </si>
  <si>
    <t>BLOCK TAMAÑO CARTA CUADRICULADO</t>
  </si>
  <si>
    <t>Block carta 21.6 x 27.9 cm (8.5 x 11 pulgadas) hojas cuadriculadas</t>
  </si>
  <si>
    <t>https://www.panamericana.com.co/block-cuadriculado-carta-jean-book-70-hojas-592922/p?idsku=592922&amp;srsltid=AfmBOopW0iyuNTQ65hZSlusKjP88uDp5C4RUsSH67QcC6zhOxILvsC1inks
https://www.papeleriamodelo.com/producto/block-cuadriculado/</t>
  </si>
  <si>
    <t>https://www.panamericana.com.co/block-cuadriculado-carta-jean-book-70-hojas-592922/p?idsku=592922&amp;srsltid=AfmBOopW0iyuNTQ65hZSlusKjP88uDp5C4RUsSH67QcC6zhOxILvsC1inks</t>
  </si>
  <si>
    <t>https://www.papeleriamodelo.com/producto/block-cuadriculado/</t>
  </si>
  <si>
    <t>BOLIGRAFO / Punto grueso / Tinta colores surtidos / 10 piezas</t>
  </si>
  <si>
    <t>Tamaño de punta 1.2 mm (punto grueso); colores surtidos en tinta; barril transparente al color de la tinta; terminado mate; presentación en caja con 10 piezas.</t>
  </si>
  <si>
    <t>caja de 10</t>
  </si>
  <si>
    <t>LIBRERÍA TROYA</t>
  </si>
  <si>
    <t>https://libreriatroya.com/products/estuche-boligrafo-offi-esco-semi-gel-0-7-x10?variant=51441877647633&amp;country=CO&amp;currency=COP&amp;utm_medium=product_sync&amp;utm_source=google&amp;utm_content=sag_organic&amp;utm_campaign=sag_organic&amp;srsltid=AfmBOophlsIc6UY5escKHBJcnIVr6Jym6a0W8wXofzG9arsJcsGU_WhUHEE
https://www.carulla.com/est-10-boligrafos-sly-colores-362770/p</t>
  </si>
  <si>
    <t>https://libreriatroya.com/products/estuche-boligrafo-offi-esco-semi-gel-0-7-x10?variant=51441877647633&amp;country=CO&amp;currency=COP&amp;utm_medium=product_sync&amp;utm_source=google&amp;utm_content=sag_organic&amp;utm_campaign=sag_organic&amp;srsltid=AfmBOophlsIc6UY5escKHBJcnIVr6Jym6a0W8wXofzG9arsJcsGU_WhUHEE</t>
  </si>
  <si>
    <t>CARULLA</t>
  </si>
  <si>
    <t>https://www.carulla.com/est-10-boligrafos-sly-colores-362770/p</t>
  </si>
  <si>
    <t>Boligrafo De Micropunta De Gel</t>
  </si>
  <si>
    <t>Boligrafo de micropunta de gel, punta de 0.016in, color negro, con punta de aguja extrafina, Bola de carburo de tungsteno, cuerpo transparente con tapa. .</t>
  </si>
  <si>
    <t>PUBLICITAR</t>
  </si>
  <si>
    <t>https://publicitar.com.co/tienda/articulo-de-escritura/boligrafos-plasticos/boligrafo-rapid-gel/?srsltid=AfmBOooVPoU6suScMFEo7ayyewFLFErg9UQt2pRzua0vJ6tEvmWr3gd6
https://www.mercadolibre.com.co/boligrafo-rapid-gel-tipo-micropunta-con-tapa-x-5-unidades/up/MCOU3156318178#polycard_client=search-desktop&amp;search_layout=grid&amp;position=11&amp;type=product&amp;tracking_id=150b3378-5bfd-453a-8ed0-ffae54fcad58&amp;wid=MCO1576442545&amp;sid=search</t>
  </si>
  <si>
    <t>https://publicitar.com.co/tienda/articulo-de-escritura/boligrafos-plasticos/boligrafo-rapid-gel/?srsltid=AfmBOooVPoU6suScMFEo7ayyewFLFErg9UQt2pRzua0vJ6tEvmWr3gd6</t>
  </si>
  <si>
    <t>https://www.mercadolibre.com.co/boligrafo-rapid-gel-tipo-micropunta-con-tapa-x-5-unidades/up/MCOU3156318178#polycard_client=search-desktop&amp;search_layout=grid&amp;position=11&amp;type=product&amp;tracking_id=150b3378-5bfd-453a-8ed0-ffae54fcad58&amp;wid=MCO1576442545&amp;sid=search</t>
  </si>
  <si>
    <t>Bolígrafos Borrables Por Calor</t>
  </si>
  <si>
    <t>bolígrafos borrables por calor, recarga de rotuladores de tela, juego de rotuladores de tela para acolchado de tela, costura, confección (azul)</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</si>
  <si>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https://www.lamina.com.co/products/esfero-borrable-al-calor-frixion?variant=54761100312867&amp;country=CO&amp;currency=COP&amp;utm_medium=product_sync&amp;utm_source=google&amp;utm_content=sag_organic&amp;utm_campaign=sag_organic&amp;srsltid=AfmBOoqxnV_A3-ZBhbJ-8_RWmjpcYFUQ-PXH774NfWPwUPJGJW5eiXPVzAc</t>
  </si>
  <si>
    <t>https://www.lamina.com.co/products/esfero-borrable-al-calor-frixion?variant=54761100312867&amp;country=CO&amp;currency=COP&amp;utm_medium=product_sync&amp;utm_source=google&amp;utm_content=sag_organic&amp;utm_campaign=sag_organic&amp;srsltid=AfmBOoqxnV_A3-ZBhbJ-8_RWmjpcYFUQ-PXH774NfWPwUPJGJW5eiXPVzAc</t>
  </si>
  <si>
    <t>bolsas de empaque transparante 5 kilos x 100 unidades</t>
  </si>
  <si>
    <t>PAQUETE X 100</t>
  </si>
  <si>
    <t>Super desechables del norte</t>
  </si>
  <si>
    <t>https://superdesechablesdelnorte.com/bolsas/45-bolsa-manija-5-kilos-x-100-unidades.html
https://www.todoaseo.com/tienda/desechables/para-empacar/bolsas-de-alimentos/02155-bolsa-manija-5-kilos-blanca-x-100/</t>
  </si>
  <si>
    <t>https://superdesechablesdelnorte.com/bolsas/45-bolsa-manija-5-kilos-x-100-unidades.html</t>
  </si>
  <si>
    <t>Todo Aseo</t>
  </si>
  <si>
    <t>https://www.todoaseo.com/tienda/desechables/para-empacar/bolsas-de-alimentos/02155-bolsa-manija-5-kilos-blanca-x-100/</t>
  </si>
  <si>
    <t>bolsas de empaque transparente 2 kilos x 100 unidades</t>
  </si>
  <si>
    <t>Productos y Suministros</t>
  </si>
  <si>
    <t>https://productosysuministros.com/web/producto/1219-bolsa-transparente-20x30-2-kilos-x-100-uds?srsltid=AfmBOoolQbFEL7b8m_JdorIpvmcC1nwjLSb2WRKmIQOs36PzykInRzhb
https://www.todoaseo.com/tienda/desechables/para-empacar/bolsas-de-alimentos/04719-bolsa-manija-2-kilo-blanca-x-100/</t>
  </si>
  <si>
    <t>https://productosysuministros.com/web/producto/1219-bolsa-transparente-20x30-2-kilos-x-100-uds?srsltid=AfmBOoolQbFEL7b8m_JdorIpvmcC1nwjLSb2WRKmIQOs36PzykInRzhb</t>
  </si>
  <si>
    <t>https://www.todoaseo.com/tienda/desechables/para-empacar/bolsas-de-alimentos/04719-bolsa-manija-2-kilo-blanca-x-100/</t>
  </si>
  <si>
    <t>bolsas de empaque transparente kilo x 100 unidades</t>
  </si>
  <si>
    <t>https://superdesechablesdelnorte.com/bolsas/65-bolsa-transp-6-x-11-x-100-und-1-kilo.html
https://productosysuministros.com/web/producto/1218-bolsa-transparente-x-1kg-x-100-uds?srsltid=AfmBOope0r6Nvvjupf7w9V0H1ytG0XEKp23RqxvP9CsY4VNdoxm0p6cE</t>
  </si>
  <si>
    <t>https://superdesechablesdelnorte.com/bolsas/65-bolsa-transp-6-x-11-x-100-und-1-kilo.html</t>
  </si>
  <si>
    <t>https://productosysuministros.com/web/producto/1218-bolsa-transparente-x-1kg-x-100-uds?srsltid=AfmBOope0r6Nvvjupf7w9V0H1ytG0XEKp23RqxvP9CsY4VNdoxm0p6cE</t>
  </si>
  <si>
    <t>BOLSAS DE TELA</t>
  </si>
  <si>
    <t>Bolsa de tela de 35 cm por 30 cm con manigueta</t>
  </si>
  <si>
    <t xml:space="preserve">Bolsas ecológicas Fábrica </t>
  </si>
  <si>
    <t>https://fabrica-bolsas.com/bolsas-de-tela-personalizadas/bolsas-de-tela-al-por-mayor-plana-manija/
https://tumerch.co/products/bolsa-plana-bicolor-30x40?pr_prod_strat=e5_desc&amp;pr_rec_id=2f18f9ac6&amp;pr_rec_pid=10068672741508&amp;pr_ref_pid=10068672446596&amp;pr_seq=uniform</t>
  </si>
  <si>
    <t>https://fabrica-bolsas.com/bolsas-de-tela-personalizadas/bolsas-de-tela-al-por-mayor-plana-manija/</t>
  </si>
  <si>
    <t>Tu merch</t>
  </si>
  <si>
    <t>https://tumerch.co/products/bolsa-plana-bicolor-30x40?pr_prod_strat=e5_desc&amp;pr_rec_id=2f18f9ac6&amp;pr_rec_pid=10068672741508&amp;pr_ref_pid=10068672446596&amp;pr_seq=uniform</t>
  </si>
  <si>
    <t>Borrador miga de pan</t>
  </si>
  <si>
    <t>Goma suave de caucho sintético tipo “miga de pan”. Para borrar una amplia gama de lápices de grafito sobre toda clase de papeles.No dejan mancha al borrar No maltratan el papel Medidas de cada borrador 5,5 cm x 2 cm x 0,9 mm Borrador Miga de Pan MP 20 Caja X 20 Unidades. Caja x 20 unidades</t>
  </si>
  <si>
    <t>Cajas por 20</t>
  </si>
  <si>
    <t>BROCHA 1"</t>
  </si>
  <si>
    <t>Brocha de 1 pulgada en cerda natural 100% suave, con la facultad de proporcionar una alta suavidad, evitando cualquier tipo de rayón en superficies.</t>
  </si>
  <si>
    <t>https://www.homecenter.com.co/homecenter-co/product/50989/brocha-en-cerda-mona-cabo-azul-de-1-pulgada/50989/?queryId=e35e2ddf-0e6d-482c-ae29-0147d340b5a2
https://tienda.bazaramericano.com.co/brochas-y-rodillos/brocha-goya-1-pulgada-r131</t>
  </si>
  <si>
    <t>https://www.homecenter.com.co/homecenter-co/product/50989/brocha-en-cerda-mona-cabo-azul-de-1-pulgada/50989/?queryId=e35e2ddf-0e6d-482c-ae29-0147d340b5a2</t>
  </si>
  <si>
    <t>Tienda Bazaramericano</t>
  </si>
  <si>
    <t>https://tienda.bazaramericano.com.co/brochas-y-rodillos/brocha-goya-1-pulgada-r131</t>
  </si>
  <si>
    <t>Caja de colores x 48 unidades</t>
  </si>
  <si>
    <t>Caja de colores por 48 unidades, mina suave y resistente, graduacion 3B, dimencion caja: 24cm x 17,8cm x 2,5cm, caja de carton, cuerpo de los colores en madera, mina resistente de 4 mm, no toxico, colores unipunta. .</t>
  </si>
  <si>
    <t>Cajas por 48</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</si>
  <si>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https://todoenartes.com/products/colores-x48-prismacolor</t>
  </si>
  <si>
    <t>TODO EN ARTES</t>
  </si>
  <si>
    <t>https://todoenartes.com/products/colores-x48-prismacolor</t>
  </si>
  <si>
    <t>Caja Lapiz Mirado 2 X12unidades</t>
  </si>
  <si>
    <t>Caja de lapiz mirado N2 Mina ultra resistente a quebraduras, hexagonal para cómodo agarre, mina oscura HB, 12 lapices por caja. CAJA X 12</t>
  </si>
  <si>
    <t>Cajas por 12</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</si>
  <si>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https://garabatospapeleria.com/productos/caja-x-12-lapices-hexagonal-mirado-grafito-hb-2-paper-mate-cceqn/?srsltid=AfmBOorurOf9sm1X3KxVuyUHn34TYySTxm1sucYTH3eo174ZStyb5uCc</t>
  </si>
  <si>
    <t>https://garabatospapeleria.com/productos/caja-x-12-lapices-hexagonal-mirado-grafito-hb-2-paper-mate-cceqn/?srsltid=AfmBOorurOf9sm1X3KxVuyUHn34TYySTxm1sucYTH3eo174ZStyb5uCc</t>
  </si>
  <si>
    <t>Caja organizadora</t>
  </si>
  <si>
    <t>Caja organizadora plástica transparente con tapa de 45 litros</t>
  </si>
  <si>
    <t>https://www.homecenter.com.co/homecenter-co/product/909535/caja-plastica-ultraforte-con-tapa-46lt-597x234x464-cm-transparente-just-home-collection/909535/
https://www.ikea.com/co/es/p/samla-caja-plastica-con-tapa-transparente-s69440761/</t>
  </si>
  <si>
    <t>https://www.homecenter.com.co/homecenter-co/product/909535/caja-plastica-ultraforte-con-tapa-46lt-597x234x464-cm-transparente-just-home-collection/909535/</t>
  </si>
  <si>
    <t>IKEA</t>
  </si>
  <si>
    <t>https://www.ikea.com/co/es/p/samla-caja-plastica-con-tapa-transparente-s69440761/</t>
  </si>
  <si>
    <t>Calculadora Científica 240 Funciones</t>
  </si>
  <si>
    <t>Calculadora científica 12 dígitos, Posee 240 funciones, posee doble línea de información en pantalla, Cálculo y conversión de fracciones, Conversión de coordenadas, Generación de números aleatorios, Memoria de respuesta final (ANS). Teclas suaves..</t>
  </si>
  <si>
    <t>IDEAS PAPELERÍA</t>
  </si>
  <si>
    <t>https://ideaspapeleria.com/producto/4292/calculadora-offi-esco-cientifica-oe-985-de-240-funciones
https://milistaya.com/producto/calculadora-cientifica-12-digitos-240-funciones-offi-esco-ref-oe-985/</t>
  </si>
  <si>
    <t>https://ideaspapeleria.com/producto/4292/calculadora-offi-esco-cientifica-oe-985-de-240-funciones</t>
  </si>
  <si>
    <t>MILISTAYA</t>
  </si>
  <si>
    <t>https://milistaya.com/producto/calculadora-cientifica-12-digitos-240-funciones-offi-esco-ref-oe-985/</t>
  </si>
  <si>
    <t>Cargador De Pilas Baterias Aa Y Aaa</t>
  </si>
  <si>
    <t>Baterías recargables para uso diario, compacto y ligero para transportar, puede recargar pilas AA/AAA..</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</si>
  <si>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https://www.falabella.com.co/falabella-co/product/118402867/Cargador-Pilas-Aaaaa-X4-Baterias-Aa-Recargable-Beston/118402868</t>
  </si>
  <si>
    <t>FALABELLA</t>
  </si>
  <si>
    <t>https://www.falabella.com.co/falabella-co/product/118402867/Cargador-Pilas-Aaaaa-X4-Baterias-Aa-Recargable-Beston/118402868</t>
  </si>
  <si>
    <t>Carpeta Con Bolsillo Carta Kimberly</t>
  </si>
  <si>
    <t>Descripción: Carpeta kimberly con bolsillo BLANCA-VERDE. Es perfecta para usar en presentaciones de hojas de vida, documentos académicos, cartas o cualquier archivo que requiera de una presentación formal. Tiene solapas de protección para mejorar la presentación del documento ya grapado. Es la mejor forma de archivar información importante para que se conserve por más tiempo Ficha técnica: Tamaño: 23 x 29,6 cms - Carta Gramaje: 180 Gr. Color: blanco Cantidad: 6 unidades. Tipo: Escolar, Carpetas, Archivadores y organizadores. paquete por 6 unidades</t>
  </si>
  <si>
    <t>Carpetas 4 aletas</t>
  </si>
  <si>
    <t>IMENSIÓN: ANCHO DE 69,5 CM; LARGO DE 69,5 CM BASE CENTRAL DE 22 CM DE ANCHO POR 35CM DE LARGO; SOLAPAS LATERALES DE 22 CM A 25,5 CM DE ANCHO POR 35 CM DE LARGO; SOLAPAS INFERIOR Y SUPERIOR DE 22,5 CM DE ANCHO POR 17CM DE LARGO. CARACTERÍSTICAS:CUBIERTA ANTERIOR Y POSTERIOR CON SOLAPAS LATERALES QUE DOBLAN AL INTERIOR GRAFADO PARA 4 PLIEGUES SOBRE CADA SOLAPA Y UNA DISTANCIA ENTRE PLIEGUE DE 1 CM DE PULPA BLANCAMEMBRETADO: IMPRESIÓN A UNA TINTA DEL LOGO DE LA ENTIDAD Y LA IDENTIFICACIÓN.</t>
  </si>
  <si>
    <t>Cartón Cartulina Blanco</t>
  </si>
  <si>
    <t>Descripción Cartón Cartulina Blanco Reverso Café
Calibre 16
Tamaño: Pliego 70 x 100 cm
Pack x 6 Pliegos</t>
  </si>
  <si>
    <t>Paquete x 6 pliegos</t>
  </si>
  <si>
    <t xml:space="preserve">
https://www.mercadolibre.com.co/carton-cartulina-blanco-70100-cm-x-6-pliegos-calibre-16/up/MCOU2436325778</t>
  </si>
  <si>
    <t>https://www.mercadolibre.com.co/carton-cartulina-blanco-70100-cm-x-6-pliegos-calibre-16/up/MCOU2436325778</t>
  </si>
  <si>
    <t>CARTON CORRUGADO EN ROLLO.</t>
  </si>
  <si>
    <t>CARTON CORRUGADO EN ROLLO. Presentación: 1.20M de Ancho
En esta compra recibirás 20 Metros de Largo
Cartón especial para los siguientes usos:
-Empacar mercancías o muebles para envíos o mudanzas
-Proteger Pisos, Superficies Y Muebles cuando se realizan remodelaciones.
-Gracias a su corrugado se dejar manejar y cortar fácil, brindando excelente protección.
-Desarrollo de cajas decorativas o artesanales</t>
  </si>
  <si>
    <t>ROLLO x 20 Metros</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</si>
  <si>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https://www.homecenter.com.co/homecenter-co/product/3003260/rollo-carton-corrugado-12x20-m/3003260/?kid=shopp_goosho_1430587&amp;shop=1&amp;gad_source=1&amp;gad_campaignid=17622046203&amp;gbraid=0AAAAADt6wnq-XDJ2beaohef65K_xnAQyW&amp;gclid=CjwKCAjwyYPOBhBxEiwAgpT8P3440QyOjPp7KBulUVmtU6d0sSn3nVsq5vFHxUn9cWOkSaM-HjubjxoC4egQAvD_BwE</t>
  </si>
  <si>
    <t>https://www.homecenter.com.co/homecenter-co/product/3003260/rollo-carton-corrugado-12x20-m/3003260/?kid=shopp_goosho_1430587&amp;shop=1&amp;gad_source=1&amp;gad_campaignid=17622046203&amp;gbraid=0AAAAADt6wnq-XDJ2beaohef65K_xnAQyW&amp;gclid=CjwKCAjwyYPOBhBxEiwAgpT8P3440QyOjPp7KBulUVmtU6d0sSn3nVsq5vFHxUn9cWOkSaM-HjubjxoC4egQAvD_BwE</t>
  </si>
  <si>
    <t>Cartón duplex</t>
  </si>
  <si>
    <t>Tipo de cartón sencillo y muy fino, se valora por su peso y gramaje.
Flexible y de fácil manipulación. Formado por dos capas fibrosas unidas entre si durante su fabricación, en estado humedo, sin intervención de adhesivo alguno. fabricada 100% fibra virgen con mayor rigidez y 3 capaz de esmalte. Se utiliza principlamente para articulos de papelería, tarjetas, carpetas, packaging y otros.
Presentación de 100cm x 70cm - Grosor 0.56. Pliego</t>
  </si>
  <si>
    <t>Pliego</t>
  </si>
  <si>
    <t>Carton Industrial</t>
  </si>
  <si>
    <t>Carton Industrial Tamaño 2mm Pliego 70x100cm El Cartón Industrial o Cartón Piedra tiene las siguientes características: 1. Grosor de 2 mm: Proporciona resistencia y rigidez para diversas aplicaciones.
2. Material reciclado: Es una opción ecológica al estar fabricado a partir de material reciclado, contribuyendo al cuidado del medio ambiente.
3. Puede ser cortado a láser: Su composición permite un corte preciso y limpio mediante láser, lo que lo hace ideal para proyectos detallados.
4. Disponible en color gris: Ofrece un aspecto neutro y versátil para diversas creaciones y aplicaciones.</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</si>
  <si>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https://papeleriamilger.com/producto/carton-prensado-o-piedra-2mm/</t>
  </si>
  <si>
    <t>Papeleria Milger</t>
  </si>
  <si>
    <t>https://papeleriamilger.com/producto/carton-prensado-o-piedra-2mm/</t>
  </si>
  <si>
    <t>CARTON PAJA</t>
  </si>
  <si>
    <t>Cartón paja de 1/8 blanco x 10 unidades</t>
  </si>
  <si>
    <t>Papeleria el Mayorista</t>
  </si>
  <si>
    <t>https://www.papeleriaelmayorista.com/producto/carton-paja-1-8/
https://www.papelerialagaviota.com/pagina-del-producto/carton-paja-blanco-1-8-paquete-10</t>
  </si>
  <si>
    <t>https://www.papeleriaelmayorista.com/producto/carton-paja-1-8/</t>
  </si>
  <si>
    <t>Papeleria la Gaviota</t>
  </si>
  <si>
    <t>https://www.papelerialagaviota.com/pagina-del-producto/carton-paja-blanco-1-8-paquete-10</t>
  </si>
  <si>
    <t>Cartuchera Universitaria</t>
  </si>
  <si>
    <t>Cartuchera Universitaria - Práctica y cómoda, para que lleves lo necesario pero siempre organizado, para múltiples usos.</t>
  </si>
  <si>
    <t>https://articulo.mercadolibre.com.co/MCO-2321644060-cartuchera-universitaria-unicolor-_JM?searchVariation=182448785737#polycard_client=search-desktop&amp;searchVariation=182448785737&amp;search_layout=grid&amp;position=2&amp;type=item&amp;tracking_id=b84aa18e-646b-4987-8913-88c63627000d
https://elchiquitindelospreciosbajos.com/product/cartuchera-unicolor-primavera-p-bags-ref-1454_019-5/</t>
  </si>
  <si>
    <t>https://articulo.mercadolibre.com.co/MCO-2321644060-cartuchera-universitaria-unicolor-_JM?searchVariation=182448785737#polycard_client=search-desktop&amp;searchVariation=182448785737&amp;search_layout=grid&amp;position=2&amp;type=item&amp;tracking_id=b84aa18e-646b-4987-8913-88c63627000d</t>
  </si>
  <si>
    <t>El Chiquitin de losPrecios Bajos</t>
  </si>
  <si>
    <t>https://elchiquitindelospreciosbajos.com/product/cartuchera-unicolor-primavera-p-bags-ref-1454_019-5/</t>
  </si>
  <si>
    <t>CARTULINA BLANCA PLIEGO</t>
  </si>
  <si>
    <t>Tiene una textura lisa y de alta calidad, por esto es una de las mejores opciones para hacer manualidades, carteles, y está diseñada para impresión comercial a todo color, con excelente rigidez, blancura y opacidad. 70*100 cm 80. pliego</t>
  </si>
  <si>
    <t>Cartulina Calipso 1/8 Octavo Surtida Paq X100 Und</t>
  </si>
  <si>
    <t>Cartulina Octavo 1/8 X 200 colores variados
Cantidad: 100 Unidades
Color: variado
Tamaño: Octavo (22,86 x 28,58 CM Aprox)</t>
  </si>
  <si>
    <t>paquete de 100 unidades colores variados</t>
  </si>
  <si>
    <t>Coser en Linea</t>
  </si>
  <si>
    <t>https://coserenlinea.com.co/products/cartulina-calipso-1-8-octavo-surtida-paq-x100-und
https://tecnonissi.com/producto/cartulina-calipso-1-8-10-colores-surtidos/?v=7f0c663dc5fa</t>
  </si>
  <si>
    <t>https://coserenlinea.com.co/products/cartulina-calipso-1-8-octavo-surtida-paq-x100-und</t>
  </si>
  <si>
    <t>Tecnonissi</t>
  </si>
  <si>
    <t>https://tecnonissi.com/producto/cartulina-calipso-1-8-10-colores-surtidos/?v=7f0c663dc5fa</t>
  </si>
  <si>
    <t>Cartulina Iris 1/2 Pliego</t>
  </si>
  <si>
    <t>½ pliego de Papel tipo cartulina iris de colores surtidos. Medidas: 50* 70 cms, gramaje 180 g, colores: Amarillo, Azul claro, Azul Oscuro, Azul Rey, Cafe, Fucsia, Gris, Lila, Morado, Naranja, Negro, Piel Curuba, Rosada, Verde Navidad, Verde Biche.. 1/2 PLIEGO</t>
  </si>
  <si>
    <t>PAPELERIA LA GRAN 12</t>
  </si>
  <si>
    <t>https://papelerialagran12.com/productos/cartulina-iris-medio-pliego-x-unidad/?variant=388997133&amp;pf=mc&amp;srsltid=AfmBOooLQzQXhVScQ6m5gGgZ6DqOBKQ-Cq6FzBcCpqjY5k3W9NgR1g2kZB8
https://www.papeleriaelmayorista.com/producto/cartulina-plana-colores/</t>
  </si>
  <si>
    <t>https://papelerialagran12.com/productos/cartulina-iris-medio-pliego-x-unidad/?variant=388997133&amp;pf=mc&amp;srsltid=AfmBOooLQzQXhVScQ6m5gGgZ6DqOBKQ-Cq6FzBcCpqjY5k3W9NgR1g2kZB8</t>
  </si>
  <si>
    <t>https://www.papeleriaelmayorista.com/producto/cartulina-plana-colores/</t>
  </si>
  <si>
    <t>Cartulinas de color</t>
  </si>
  <si>
    <t>Cartulinas de colores surtidos, tamaño pliego, para trabajos manuales.</t>
  </si>
  <si>
    <t>UNIDAD Pliego</t>
  </si>
  <si>
    <t>Papelería Marín</t>
  </si>
  <si>
    <t>https://www.papeleriamarin.com/oficina/2391-cartulina-bristol-pliego-70x100-color.html?srsltid=AfmBOopx-ukz23dMRw1wRE2n9a9AmkQ46Y8JKNOtxI-kthn-zLupZreI
https://www.comercialpapelera.com.co/tienda/cartulina-bristol-amarillo-70-x-100-cm-1-und-p776214372</t>
  </si>
  <si>
    <t>https://www.papeleriamarin.com/oficina/2391-cartulina-bristol-pliego-70x100-color.html?srsltid=AfmBOopx-ukz23dMRw1wRE2n9a9AmkQ46Y8JKNOtxI-kthn-zLupZreI</t>
  </si>
  <si>
    <t>Comercial Papelera</t>
  </si>
  <si>
    <t>https://www.comercialpapelera.com.co/tienda/cartulina-bristol-amarillo-70-x-100-cm-1-und-p776214372</t>
  </si>
  <si>
    <t>Cinta de enmascarar uso general 1"</t>
  </si>
  <si>
    <t>Cinta para enmascarar de “Uso General” de 1 Soporte de papel crepé y adhesivo de caucho natural – Gran conformidad pintura en interiores y exteriores, rollo x 40mt</t>
  </si>
  <si>
    <t>PLASTISOL</t>
  </si>
  <si>
    <t>https://www.belplasticos.com/productos/cinta-adhesiva-enmascarar-1-x-40mts/?srsltid=AfmBOopIKqAbHVgDtq7gDqk9L2Sou_esjTCp2n-2uJt8GNiqckNvUtI-8yE
https://www.bolsasyempaquescolombia.com/products/cinta-enmascarar-1-pulgada-x-40-mts?variant=48119914299702&amp;country=CO&amp;currency=COP&amp;utm_medium=product_sync&amp;utm_source=google&amp;utm_content=sag_organic&amp;utm_campaign=sag_organic&amp;srsltid=AfmBOoqL73piIJHQPkH9otn4g8YuUkRSmGeLhcY3Zc7tkBOivO67o2McLK8</t>
  </si>
  <si>
    <t>https://www.belplasticos.com/productos/cinta-adhesiva-enmascarar-1-x-40mts/?srsltid=AfmBOopIKqAbHVgDtq7gDqk9L2Sou_esjTCp2n-2uJt8GNiqckNvUtI-8yE</t>
  </si>
  <si>
    <t>Bolsas y Empaques Colombia</t>
  </si>
  <si>
    <t>https://www.bolsasyempaquescolombia.com/products/cinta-enmascarar-1-pulgada-x-40-mts?variant=48119914299702&amp;country=CO&amp;currency=COP&amp;utm_medium=product_sync&amp;utm_source=google&amp;utm_content=sag_organic&amp;utm_campaign=sag_organic&amp;srsltid=AfmBOoqL73piIJHQPkH9otn4g8YuUkRSmGeLhcY3Zc7tkBOivO67o2McLK8</t>
  </si>
  <si>
    <t>Cinta de enmascarar uso general Ancha 2"</t>
  </si>
  <si>
    <t>Cinta para enmascarar de “Uso General” Soporte de papel crepé y adhesivo de caucho natural – Gran conformidad pintura en interiores y exteriores.- Cinta de enmascarar de 2"; ancho de de 48mm x largo de 40 metros..</t>
  </si>
  <si>
    <t>Cinta rotuladora de papel</t>
  </si>
  <si>
    <t>Empaque (4 m x 12 mm)</t>
  </si>
  <si>
    <t>https://garabatospapeleria.com/productos/etiqueta-plastica-dymo-blanca-12mmx4m-color-blanco/
https://www.papyser.com/tienda/producto/cinta-rotuladora-papel-blanca-x-2-dymo-para-letratag?srsltid=AfmBOor9ePtqFiQV7wzgF55fx0jweV2pLO-mWlgYCsGLR_ymHLSHsoTw</t>
  </si>
  <si>
    <t>https://garabatospapeleria.com/productos/etiqueta-plastica-dymo-blanca-12mmx4m-color-blanco/</t>
  </si>
  <si>
    <t>https://www.papyser.com/tienda/producto/cinta-rotuladora-papel-blanca-x-2-dymo-para-letratag?srsltid=AfmBOor9ePtqFiQV7wzgF55fx0jweV2pLO-mWlgYCsGLR_ymHLSHsoTw</t>
  </si>
  <si>
    <t>Cinta térmica 5mm</t>
  </si>
  <si>
    <t>Cinta térmica para sublimación de 30 metros, especialmente diseñada para evitar que la impresión se mueva durante el proceso de transferencia ya que es resistente a las altas temperaturas.
* 100% nueva marca
* Autoadhesivo de un lado
* Tipo: cinta kapton
* Resistencia al calor: 300 Grados
* Esto resistirá las altas temperaturas de los procesos de prensa térmica y sublimación, como la Impresión de tazas y placas, etc.
* Esta cinta es buena para cualquier tipo de sublimación.
* Tamaño: 5 mm grosor x 30 mt.
* Los procesos recomendados
* Máscara de alta temperatura, dedos dorados, recubrimiento en polvo, prensa térmica, Impresión de tazas/placas.
* Con excelentes propiedades de liberación, sin dejar residuos adhesivos.</t>
  </si>
  <si>
    <t>Ao Importaciones</t>
  </si>
  <si>
    <t>https://aoimportaciones.com/producto/cinta-termica-delgada/
https://creacionesgeek.com/producto/cinta-termica-5-mm/</t>
  </si>
  <si>
    <t>https://aoimportaciones.com/producto/cinta-termica-delgada/</t>
  </si>
  <si>
    <t>Creaciones Geek</t>
  </si>
  <si>
    <t>https://creacionesgeek.com/producto/cinta-termica-5-mm/</t>
  </si>
  <si>
    <t>Circulo cromatico de disco en español</t>
  </si>
  <si>
    <t>"Círculo Cromático de Doble Cara" (o Disco de Mezcla de Colores). Lado A (Mezcla): Muestra qué color resulta al añadir rojo, azul, amarillo, blanco o negro a un color base.
Lado B (Armonías): Tiene una "ventana" o flechas que te indican automáticamente cuáles son los colores complementarios, las tríadas y las divisiones análogas.
Diámetro: Los estándar suelen ser de 23 cm (9 pulgadas)
Material: cartulina plastificada o barnizada.
Medidas: 23x23cm
Idioma: Español</t>
  </si>
  <si>
    <t>unidad</t>
  </si>
  <si>
    <t>https://www.panamericana.com.co/circulo-cromatico-roseta/p?srsltid=AfmBOooYycXj_F7d9zZ7vy1gVCF3cR1htEpLpx0r3ufal0ksLp8Dhocq
https://www.alpenpaperuniverse.com/products/circulo-cromatico?srsltid=AfmBOoopmOxKnjMvPs1K3eTZ-br-wdE3D1UO0LSZx7kJR9Inj-se-XAO</t>
  </si>
  <si>
    <t>https://www.panamericana.com.co/circulo-cromatico-roseta/p?srsltid=AfmBOooYycXj_F7d9zZ7vy1gVCF3cR1htEpLpx0r3ufal0ksLp8Dhocq</t>
  </si>
  <si>
    <t>ALPEN</t>
  </si>
  <si>
    <t>https://www.alpenpaperuniverse.com/products/circulo-cromatico?srsltid=AfmBOoopmOxKnjMvPs1K3eTZ-br-wdE3D1UO0LSZx7kJR9Inj-se-XAO</t>
  </si>
  <si>
    <t>Clip Estándar</t>
  </si>
  <si>
    <t>Caja De Clips Metalicos De Colores Surtidos X100 Unidades</t>
  </si>
  <si>
    <t>CAJA X 100</t>
  </si>
  <si>
    <t>https://www.comercialpapelera.com.co/tienda/clip-triton-standard-metalico-institucional-x100-und-p776213677?srsltid=AfmBOoqVEpJKc0QbKn9FZoRAGsCzDcGfsO7tZZI945v0VstQ4zCCYMBz
https://www.papyser.com/tienda/producto/clip-sencillo-x-100-leader?srsltid=AfmBOorsw5rxixbZ3gf-mmnrzKZXCIiNdKPxJ21A5JIi7nawJMcxTB56</t>
  </si>
  <si>
    <t>https://www.comercialpapelera.com.co/tienda/clip-triton-standard-metalico-institucional-x100-und-p776213677?srsltid=AfmBOoqVEpJKc0QbKn9FZoRAGsCzDcGfsO7tZZI945v0VstQ4zCCYMBz</t>
  </si>
  <si>
    <t>https://www.papyser.com/tienda/producto/clip-sencillo-x-100-leader?srsltid=AfmBOorsw5rxixbZ3gf-mmnrzKZXCIiNdKPxJ21A5JIi7nawJMcxTB56</t>
  </si>
  <si>
    <t>Cortadora metálica de palanca</t>
  </si>
  <si>
    <t>Permite cortar fotos, papel, papel laminado, cartón, entre otros, de manera fácil y rápida. Material metálico que garantiza su seguridad durante el uso. Asegura un corte limpio, preciso y eficaz de hasta 10 hojas. Cuenta con una cómoda manija fácil de agarrar, además su base antideslizante consigue gran estabilidad durante su uso. Cuadricula impresa con medidas en pulgadas, centímetros y tamaños de papel (A4/A5/B5/B6/B7), una guía de papel ajustable que brinda gran precisión en el corte. Ideal para uso personal como profesional, medidas: 25 x 25 cm</t>
  </si>
  <si>
    <t>Caja (25x25 cm)</t>
  </si>
  <si>
    <t>https://www.falabella.com.co/falabella-co/product/129072317/Guillotina-Cizalla-Palanca-A4-Corta-10-Hojas-10-X-10/129072318
https://www.homecenter.com.co/homecenter-co/product/707432/guillotina-metalica-tamano-a4-b5-a5-b6-b7-paper-cutter/707432/</t>
  </si>
  <si>
    <t>https://www.falabella.com.co/falabella-co/product/129072317/Guillotina-Cizalla-Palanca-A4-Corta-10-Hojas-10-X-10/129072318</t>
  </si>
  <si>
    <t>https://www.homecenter.com.co/homecenter-co/product/707432/guillotina-metalica-tamano-a4-b5-a5-b6-b7-paper-cutter/707432/</t>
  </si>
  <si>
    <t>COSEDORA</t>
  </si>
  <si>
    <t>Cosedora Metálica de diseño práctico, liviano y moderno para hogar y oficina, con capacidad de alimentación de una tira completa de grapas, cuenta con una capacidad de grapado de 20 hojas en papel bond de 72 o 75 gr, utiliza grapa estándar 26/6..</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</si>
  <si>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https://www.panamericana.com.co/cosedora-manual-para-20-hojas-mae-660687/p?idsku=660687&amp;srsltid=AfmBOoqf3J8gstxU9AAb013hIe9wxrpHOXIuZzNX5SsimxYxQuOp5lIFIBQ</t>
  </si>
  <si>
    <t>https://www.panamericana.com.co/cosedora-manual-para-20-hojas-mae-660687/p?idsku=660687&amp;srsltid=AfmBOoqf3J8gstxU9AAb013hIe9wxrpHOXIuZzNX5SsimxYxQuOp5lIFIBQ</t>
  </si>
  <si>
    <t>Crazy Letter Board Game Fast Paced Word Puzzle</t>
  </si>
  <si>
    <t>Un juego de palabras en tiempo real y lleno de energía que desafía tu vocabulario, velocidad y pensamiento bajo presión. Perfecto para noches de juegos, fiestas o actividades en el aula, convierte la creación de palabras en una emocionante carrera contrarreloj para jugadores de todas las edades.
Características principales
Jugabilidad rápida y en tiempo real
Al pulsar el botón rojo Mano loca, el anillo de letras gira y debes construir rápidamente una palabra válida a partir de las letras reveladas antes de que se acabe el tiempo. Esto crea una energía emocionante y caótica que mantiene a todos al borde de sus asientos.
Dos modos de juego para mayor versatilidad
Juega la clásica ronda rápida o usa las cartas de desafío En el reino incluidas para añadir categorías temáticas y hacer que cada juego parezca fresco e impredecible. Ideal para toda la
familia y educativo
Está diseñado para 24 jugadores y ayuda a mejorar el vocabulario, la ortografía y el pensamiento rápido de los niños, a la vez que proporciona un divertido desafío para los adultos. Las letras grandes y fáciles de leer son aptas para todas las edades.
Diseño compacto y portátil
El tamaño reducido del juego y el almacenamiento todo en uno lo hacen ideal para viajes, picnics o sesiones de juego improvisadas. La construcción de plástico duradero garantiza que resiste el juego repetido.
Las reglas simples, inclusivas y accesibles significan que puedes empezar a jugar en cuestión de minutos, sin necesidad de una configuración compleja. Es ideal para grupos de edades mixtas, desde niños que están aprendiendo a escribir ortografía hasta adultos que buscan un entrenamiento mental rápido.</t>
  </si>
  <si>
    <t>Caja (25x15x15 cm)</t>
  </si>
  <si>
    <t>https://www.mercadolibre.com.co/juego-de-mesa-crazy-alphabet-stamping/p/MCO2056624855
https://es.aliexpress.com/item/1005010385521131.html?src=google&amp;pdp_npi=4%40dis!COP!39610.56!38764.87!!!!!%40!12000052228890876!ppc!!!&amp;src=google&amp;albch=shopping&amp;acnt=971-003-6642&amp;isdl=y&amp;slnk=&amp;plac=&amp;mtctp=&amp;albbt=Google_7_shopping&amp;aff_platform=google&amp;aff_short_key=UneMJZVf&amp;gclsrc=aw.ds&amp;&amp;albagn=888888&amp;&amp;ds_e_adid=793125220793&amp;ds_e_matchtype=search&amp;ds_e_device=c&amp;ds_e_network=g&amp;ds_e_product_group_id=293946777986&amp;ds_e_product_id=es1005010385521131&amp;ds_e_product_merchant_id=5520179106&amp;ds_e_product_country=ZZ&amp;ds_e_product_language=es&amp;ds_e_product_channel=online&amp;ds_e_product_store_id=&amp;ds_url_v=2&amp;albcp=23471418217&amp;albag=188955071502&amp;isSmbAutoCall=false&amp;needSmbHouyi=false&amp;gad_source=1&amp;gad_campaignid=23471418217&amp;gbraid=0AAAAA_AVUycSgq6khqCam6LTbi1rw7ejb&amp;gclid=CjwKCAjwyYPOBhBxEiwAgpT8PxHqXBeWDnPk1JJWcUvg9FmaLbbkk0XiIec8DKZX5VZiyr1qbYqBxBoCcMIQAvD_BwE</t>
  </si>
  <si>
    <t>https://www.mercadolibre.com.co/juego-de-mesa-crazy-alphabet-stamping/p/MCO2056624855</t>
  </si>
  <si>
    <t>ALIEXPRESS</t>
  </si>
  <si>
    <t>https://es.aliexpress.com/item/1005010385521131.html?src=google&amp;pdp_npi=4%40dis!COP!39610.56!38764.87!!!!!%40!12000052228890876!ppc!!!&amp;src=google&amp;albch=shopping&amp;acnt=971-003-6642&amp;isdl=y&amp;slnk=&amp;plac=&amp;mtctp=&amp;albbt=Google_7_shopping&amp;aff_platform=google&amp;aff_short_key=UneMJZVf&amp;gclsrc=aw.ds&amp;&amp;albagn=888888&amp;&amp;ds_e_adid=793125220793&amp;ds_e_matchtype=search&amp;ds_e_device=c&amp;ds_e_network=g&amp;ds_e_product_group_id=293946777986&amp;ds_e_product_id=es1005010385521131&amp;ds_e_product_merchant_id=5520179106&amp;ds_e_product_country=ZZ&amp;ds_e_product_language=es&amp;ds_e_product_channel=online&amp;ds_e_product_store_id=&amp;ds_url_v=2&amp;albcp=23471418217&amp;albag=188955071502&amp;isSmbAutoCall=false&amp;needSmbHouyi=false&amp;gad_source=1&amp;gad_campaignid=23471418217&amp;gbraid=0AAAAA_AVUycSgq6khqCam6LTbi1rw7ejb&amp;gclid=CjwKCAjwyYPOBhBxEiwAgpT8PxHqXBeWDnPk1JJWcUvg9FmaLbbkk0XiIec8DKZX5VZiyr1qbYqBxBoCcMIQAvD_BwE</t>
  </si>
  <si>
    <t>CUADERNO ARGOLLADO GRANDE 5 MATERIAS</t>
  </si>
  <si>
    <t>Cuaderno Tapa Dura 5 Materias Argollado minimo 160 hojas</t>
  </si>
  <si>
    <t>Cuaderno cosido</t>
  </si>
  <si>
    <t>cuaderno cosido cuadriculado x 50 hojas</t>
  </si>
  <si>
    <t>LA GARZA</t>
  </si>
  <si>
    <t>https://lagarza.com.co/es/productos/cuaderno-cosido-cuadriculado-50-hojas
https://www.exito.com/cuaderno-cosido-cuadriculado-50-hojas-cosido-finlandek-3188697/p?idsku=3615707&amp;srsltid=AfmBOorosLqfocPhvYKEcvDMWWgXo00dpDo1LYSHqCWJ6UVOhVDC2p_nfEM</t>
  </si>
  <si>
    <t>https://lagarza.com.co/es/productos/cuaderno-cosido-cuadriculado-50-hojas</t>
  </si>
  <si>
    <t>EXITO</t>
  </si>
  <si>
    <t>https://www.exito.com/cuaderno-cosido-cuadriculado-50-hojas-cosido-finlandek-3188697/p?idsku=3615707&amp;srsltid=AfmBOorosLqfocPhvYKEcvDMWWgXo00dpDo1LYSHqCWJ6UVOhVDC2p_nfEM</t>
  </si>
  <si>
    <t>Cuaderno cosido rayado x 50 hojas</t>
  </si>
  <si>
    <t>https://lagarza.com.co/es/productos/cuaderno-cosido-rayado-50-hojas
https://www.suescun.com.co/producto/cuaderno-cosido-rayado-50-hojas-vip/?srsltid=AfmBOoqO9liX5G5uMuCQs45LCNxJT5iz4eH_tnFMX6oJZP18sGrjRReQ8MA</t>
  </si>
  <si>
    <t>https://lagarza.com.co/es/productos/cuaderno-cosido-rayado-50-hojas</t>
  </si>
  <si>
    <t>SUESCUN</t>
  </si>
  <si>
    <t>https://www.suescun.com.co/producto/cuaderno-cosido-rayado-50-hojas-vip/?srsltid=AfmBOoqO9liX5G5uMuCQs45LCNxJT5iz4eH_tnFMX6oJZP18sGrjRReQ8MA</t>
  </si>
  <si>
    <t>CUCHARAS</t>
  </si>
  <si>
    <t>Bolsa de cucharas grandes plasticas por 100 unidades</t>
  </si>
  <si>
    <t>PAQUETE</t>
  </si>
  <si>
    <t>https://www.bolsasyempaquescolombia.com/products/cubiertos-desechables-grandes-6-x100unds?variant=48237125239094&amp;country=CO&amp;currency=COP&amp;utm_medium=product_sync&amp;utm_source=google&amp;utm_content=sag_organic&amp;utm_campaign=sag_organic&amp;srsltid=AfmBOopODeHDIgqA0o5riyKvlU0FjygVAA9hJh8Z_g8ZvFDyQ_vo5L0ZNN0
https://berpa.com.co/CUBIERTOS/cuchara-grande-sura-x-100-60-r687?srsltid=AfmBOoqEEW3x5f81JcQUo7BlBDgRNMUapqETzGGZrwkpJ6tNhRg5P_Il</t>
  </si>
  <si>
    <t>https://www.bolsasyempaquescolombia.com/products/cubiertos-desechables-grandes-6-x100unds?variant=48237125239094&amp;country=CO&amp;currency=COP&amp;utm_medium=product_sync&amp;utm_source=google&amp;utm_content=sag_organic&amp;utm_campaign=sag_organic&amp;srsltid=AfmBOopODeHDIgqA0o5riyKvlU0FjygVAA9hJh8Z_g8ZvFDyQ_vo5L0ZNN0</t>
  </si>
  <si>
    <t>BERPA</t>
  </si>
  <si>
    <t>https://berpa.com.co/CUBIERTOS/cuchara-grande-sura-x-100-60-r687?srsltid=AfmBOoqEEW3x5f81JcQUo7BlBDgRNMUapqETzGGZrwkpJ6tNhRg5P_Il</t>
  </si>
  <si>
    <t>Curvigrafo</t>
  </si>
  <si>
    <t>Para dibujar todo tipo de curvas irregulares. Tambien llamados curvas francesas, curvas de burmester. acrílico transparente - verde óptico.</t>
  </si>
  <si>
    <t>EL PINGUINO</t>
  </si>
  <si>
    <t>https://papeleriaelpinguino.com/producto/curvigrafo-faber-castell-x-3/
https://tauro.com.co/producto/curvigrafo-x3-faber-castell/</t>
  </si>
  <si>
    <t>https://papeleriaelpinguino.com/producto/curvigrafo-faber-castell-x-3/</t>
  </si>
  <si>
    <t>TAURO</t>
  </si>
  <si>
    <t>https://tauro.com.co/producto/curvigrafo-x3-faber-castell/</t>
  </si>
  <si>
    <t>DADOS GIGANTES</t>
  </si>
  <si>
    <t>Un par de dados gigantes en espuma, 30CM X 30CM</t>
  </si>
  <si>
    <t>UNIDAD - PAR</t>
  </si>
  <si>
    <t>https://www.mercadolibre.com.co/dado-didactico-30x30x30-cm/up/MCOU2428165109#polycard_client=recommendations_vip-v2p&amp;reco_backend=ranker_retrieval_system_org&amp;reco_model=rk_ent_v3_retsys_org&amp;reco_client=vip-v2p&amp;reco_item_pos=2&amp;reco_backend_type=low_level&amp;reco_id=e38ab250-e434-4c07-baaa-640aef19784c&amp;wid=MCO510237398&amp;sid=recos
https://orlave.com/products/dado-infantil-30-x-30-cm?variant=34858017620127</t>
  </si>
  <si>
    <t>https://www.mercadolibre.com.co/dado-didactico-30x30x30-cm/up/MCOU2428165109#polycard_client=recommendations_vip-v2p&amp;reco_backend=ranker_retrieval_system_org&amp;reco_model=rk_ent_v3_retsys_org&amp;reco_client=vip-v2p&amp;reco_item_pos=2&amp;reco_backend_type=low_level&amp;reco_id=e38ab250-e434-4c07-baaa-640aef19784c&amp;wid=MCO510237398&amp;sid=recos</t>
  </si>
  <si>
    <t>ORLAVE</t>
  </si>
  <si>
    <t>https://orlave.com/products/dado-infantil-30-x-30-cm?variant=34858017620127</t>
  </si>
  <si>
    <t>Espatulas metálicas</t>
  </si>
  <si>
    <t>Herramientas manuales
Material : Acero inoxidable
Mango: Madera
Juego: 5 unidades</t>
  </si>
  <si>
    <t>Kit x 5</t>
  </si>
  <si>
    <t>https://www.comercialpapelera.com.co/tienda/Espatula-Metal-X5-Und-p790634486?srsltid=AfmBOorE8BANrJkx8bHLLv-UK-V2ruZuIqOqNYYeB3-d0-p0ITn10fEmrpA
https://www.panamericana.com.co/set-de-espatula-x-5-piezas-metalicas-654584/p?idsku=654584&amp;srsltid=AfmBOoo_5j0pCR6gyquiD3gEboPOWKY8Mek-E489BfZ94lkE3_eUuSrjMLU</t>
  </si>
  <si>
    <t>https://www.comercialpapelera.com.co/tienda/Espatula-Metal-X5-Und-p790634486?srsltid=AfmBOorE8BANrJkx8bHLLv-UK-V2ruZuIqOqNYYeB3-d0-p0ITn10fEmrpA</t>
  </si>
  <si>
    <t>https://www.panamericana.com.co/set-de-espatula-x-5-piezas-metalicas-654584/p?idsku=654584&amp;srsltid=AfmBOoo_5j0pCR6gyquiD3gEboPOWKY8Mek-E489BfZ94lkE3_eUuSrjMLU</t>
  </si>
  <si>
    <t>Estuche marcador permanente alto rendimiento x4</t>
  </si>
  <si>
    <t>4 unidades de marcadores gruesos permanentes: rojo, verde, azul y negro. Cuerpo ligero y resistente, resistente al agua, recomendado para cartón, papel y plástico.</t>
  </si>
  <si>
    <t>JUMBO</t>
  </si>
  <si>
    <t>https://www.jumbocolombia.com/marcador-pelikan-420-estuche-x-4-170601/p?idsku=170601&amp;srsltid=AfmBOoqbwaqB_F_b1hSYgnY0cK53IppiWKObjHAHU2nGHqBpoikJyxP2T9A
https://www.carulla.com/marcador-420-estuche-x-4-906928/p</t>
  </si>
  <si>
    <t>https://www.jumbocolombia.com/marcador-pelikan-420-estuche-x-4-170601/p?idsku=170601&amp;srsltid=AfmBOoqbwaqB_F_b1hSYgnY0cK53IppiWKObjHAHU2nGHqBpoikJyxP2T9A</t>
  </si>
  <si>
    <t>https://www.carulla.com/marcador-420-estuche-x-4-906928/p</t>
  </si>
  <si>
    <t>Etiquetas Adhesivas De Codificación</t>
  </si>
  <si>
    <t>stickers para escribir y que no se borren</t>
  </si>
  <si>
    <t>rollo x 500</t>
  </si>
  <si>
    <t>https://www.mercadolibre.com.co/etiquetas-adhesivas-wg-rollo-50x50mm-termica-directa-500-unidades-blanco/p/MCO42932138#polycard_client=search-desktop&amp;search_layout=grid&amp;position=1&amp;type=product&amp;tracking_id=8815e981-0671-4a96-a269-b452ba0d4bf1&amp;wid=MCO1504258785&amp;sid=search
https://www.bolsasyempaquescolombia.com/products/rollo-x-500-etiquetas-autoadhesivas-100x80mm?variant=51825653547318&amp;country=CO&amp;currency=COP&amp;utm_medium=product_sync&amp;utm_source=google&amp;utm_content=sag_organic&amp;utm_campaign=sag_organic&amp;srsltid=AfmBOoo3H0XrASBFhV4gYH1pyddV_0rob1Feeb8ALyfczy4DmytWIR8xDXQ</t>
  </si>
  <si>
    <t>https://www.mercadolibre.com.co/etiquetas-adhesivas-wg-rollo-50x50mm-termica-directa-500-unidades-blanco/p/MCO42932138#polycard_client=search-desktop&amp;search_layout=grid&amp;position=1&amp;type=product&amp;tracking_id=8815e981-0671-4a96-a269-b452ba0d4bf1&amp;wid=MCO1504258785&amp;sid=search</t>
  </si>
  <si>
    <t>https://www.bolsasyempaquescolombia.com/products/rollo-x-500-etiquetas-autoadhesivas-100x80mm?variant=51825653547318&amp;country=CO&amp;currency=COP&amp;utm_medium=product_sync&amp;utm_source=google&amp;utm_content=sag_organic&amp;utm_campaign=sag_organic&amp;srsltid=AfmBOoo3H0XrASBFhV4gYH1pyddV_0rob1Feeb8ALyfczy4DmytWIR8xDXQ</t>
  </si>
  <si>
    <t>FLEXOMETRO</t>
  </si>
  <si>
    <t>Cinta métrica 5m/16' •Tipo : Flexómetros y cintas métricas •Ancho : 4 cm - Largo : 11 cm •Alto : 17 cm- •Alcance : 5 m</t>
  </si>
  <si>
    <t>FERRECO</t>
  </si>
  <si>
    <t>https://ferreco.com/inicio/6765-flexometro-cinta-metrica-5-metros-con-recubrimiento-mate-alta-calidad-coofix.html?srsltid=AfmBOopdXaJZTXtKZ5elc-bGFncMAXlVESsWLR8Apgv0r86gEbiemEhzVKc
https://www.homecenter.com.co/homecenter-co/product/316507/flexometro-magnetico-3m-redline/316507/</t>
  </si>
  <si>
    <t>https://ferreco.com/inicio/6765-flexometro-cinta-metrica-5-metros-con-recubrimiento-mate-alta-calidad-coofix.html?srsltid=AfmBOopdXaJZTXtKZ5elc-bGFncMAXlVESsWLR8Apgv0r86gEbiemEhzVKc</t>
  </si>
  <si>
    <t>https://www.homecenter.com.co/homecenter-co/product/316507/flexometro-magnetico-3m-redline/316507/</t>
  </si>
  <si>
    <t>Fommy</t>
  </si>
  <si>
    <t>Caucho espuma "fommy" colores fuertes y pasteles surtidos (amarillo, azúl, rojo, naranja, verde, fucsia, rosado, purpura, café, negro, crema, beige, piel, blanco, gris), presentación por medio pliego. 1/2 Pliego</t>
  </si>
  <si>
    <t>Gancho Lotero Doble Clip o Aprieta Papel-Medidas: 51 mm</t>
  </si>
  <si>
    <t>Un gancho lotero, broche aprieta papel o pinza sujetapapeles (o en inglés blinder clip), es un dispositivo simple para apretar muchas o pocas hojas de papel juntas, como ensayos, documentos de archivos o manuscritos, entre otros usos. El gancho lotero deja las hojas intactas y se puede quitar fácilmente sin dañar el papel a diferencia de los ganchos de grapadora.
Caja por 12 ganchos
su cuerpo es negro con sus aletas plateadas
Medidas: 51 mm</t>
  </si>
  <si>
    <t>Caja x 12</t>
  </si>
  <si>
    <t>TYU IMPORTACIONES</t>
  </si>
  <si>
    <t>https://www.tyuimportaciones.co/index.php?route=product/product&amp;product_id=4766
https://panafargo.com/producto/gancho-lotero-doble-clip-o-aprieta-papel-en-varios-tamanos/?srsltid=AfmBOoqn0F9_HYx4QVPZvebriqX6iB83uL1bH3owx7PI8kkJHhy7QXUO</t>
  </si>
  <si>
    <t>https://www.tyuimportaciones.co/index.php?route=product/product&amp;product_id=4766</t>
  </si>
  <si>
    <t>PANAGRAFO</t>
  </si>
  <si>
    <t>https://panafargo.com/producto/gancho-lotero-doble-clip-o-aprieta-papel-en-varios-tamanos/?srsltid=AfmBOoqn0F9_HYx4QVPZvebriqX6iB83uL1bH3owx7PI8kkJHhy7QXUO</t>
  </si>
  <si>
    <t>Gancho Lotero Doble Clip o Aprieta Papel- Medidas: 25 mm</t>
  </si>
  <si>
    <t>Un gancho lotero, broche aprieta papel o pinza sujetapapeles (o en inglés blinder clip), es un dispositivo simple para apretar muchas o pocas hojas de papel juntas, como ensayos, documentos de archivos o manuscritos, entre otros usos. El gancho lotero deja las hojas intactas y se puede quitar fácilmente sin dañar el papel a diferencia de los ganchos de grapadora.
Caja por 12 ganchos
su cuerpo es negro con sus aletas plateadas
Medidas: 25 mm</t>
  </si>
  <si>
    <t>https://panafargo.com/producto/gancho-lotero-doble-clip-o-aprieta-papel-en-varios-tamanos/?srsltid=AfmBOoqn0F9_HYx4QVPZvebriqX6iB83uL1bH3owx7PI8kkJHhy7QXUO
https://www.tyuimportaciones.co/index.php?route=product/product&amp;product_id=391</t>
  </si>
  <si>
    <t>https://www.tyuimportaciones.co/index.php?route=product/product&amp;product_id=391</t>
  </si>
  <si>
    <t>HOJAS PAPEL PERLADO</t>
  </si>
  <si>
    <t>Descripción- kit Papel Perlado 200 Grm. 24 hojas. - Color definida con el proveedor - Tamaño A4. - Alta calidad, ideal para maquinas de corte y manualidades.. Paquete 24 hojas</t>
  </si>
  <si>
    <t>I-POKER-C</t>
  </si>
  <si>
    <t>Selecciona tus cartas con cuidado y arma la mejor matriz IPERC. Identifica tus peligros, evalúa tus riesgos y aplica tus controles para ganarle la partida a la inseguridad.</t>
  </si>
  <si>
    <t>https://hotmart.com/es/marketplace/productos/i-poker-c/F77120207F 
https://sheeq-consulting.com/producto/i-poker-c/ </t>
  </si>
  <si>
    <t>https://hotmart.com/es/marketplace/productos/i-poker-c/F77120207F </t>
  </si>
  <si>
    <t>sheeq-consulting</t>
  </si>
  <si>
    <t>https://sheeq-consulting.com/producto/i-poker-c/ </t>
  </si>
  <si>
    <t>Juego de bingo de palabras de vista THE BAMBINO TREE</t>
  </si>
  <si>
    <t>An interactive learning game for families or classrooms. Up to 24 players can play as they practice recognizing, reading and spelling sight words in a fun, competitive, bingo style game.
Spice up the game with 8 Challenge cards with 16 Cover Challenges which add elements of skill and difficulty to the BAMBingo game. Challenge learners to analyze the target vocabulary, exercising their critical thinking skills and resulting in greater learning progress.</t>
  </si>
  <si>
    <t>9,8 x 8,6 x 1,2 pulgadas</t>
  </si>
  <si>
    <t>https://www.mercadolibre.com.co/the-bambino-tree-sight-word-bingo-nivel-1-y-2--aprender-a-l/up/MCOU2590611176?pdp_filters=item_id:MCO2717647738
https://www.amazon.com/-/es/Juego-bingo-palabras-BAMBINO-TREE/dp/B08XZGZV2J?th=1</t>
  </si>
  <si>
    <t>https://www.mercadolibre.com.co/the-bambino-tree-sight-word-bingo-nivel-1-y-2--aprender-a-l/up/MCOU2590611176?pdp_filters=item_id:MCO2717647738</t>
  </si>
  <si>
    <t>https://www.amazon.com/-/es/Juego-bingo-palabras-BAMBINO-TREE/dp/B08XZGZV2J?th=1</t>
  </si>
  <si>
    <t>Juego de cartas "Journey The Game of Life" de Hasbro</t>
  </si>
  <si>
    <t>Hit the road for a roller-coaster life of adventure, family, unexpected surprises, and pets! Want to take the family path, start a career, or venture down a risky road? In this game, players can make their own exciting choices as they move through the twists and turns of life. Move the car token around the gameboard from Start to Retirement, and experience unexpected surprises related to family, career, and other milestones of life. Players can adopt pets in this version of The Game of Life game. The player with the most money at the end of the game wins!
Includes gameboard with spinner, 100 cards, 5 Spin to Win tokens, 4 cars, 24 people pegs, 12 pet pegs, money pack, and game guide.
The Game of Life game is full of surprises
Choose a path for a life of action, adventure, and unexpected surprises
Adopt pets
Fun family game
Ages 8 and up
For 2 to 4 players.
Adult Assembly Required.</t>
  </si>
  <si>
    <t>Caja (5,51x26,70x26,70 cm)</t>
  </si>
  <si>
    <t>https://www.mercadolibre.com.co/juego-de-cartas-ingles-i-toys-for-kids-journey-the-game-of-g/p/MCO2070623426?pdp_filters=item_id%3AMCO3553086868#polycard_client=search-desktop&amp;search_layout=grid&amp;position=3&amp;type=item&amp;tracking_id=05dfc471-18b2-4676-958c-afaf00c2c0cd
https://www.pepeganga.com/juego-de-mesa-el-juego-de-life-hasbro-gaming-f0800/p?idsku=280351&amp;srsltid=AfmBOopIGNb1nZClMGOrM3dh7KgycAlVrO78Q71i3axqk7zg37v3t-rtxG4</t>
  </si>
  <si>
    <t>https://www.mercadolibre.com.co/juego-de-cartas-ingles-i-toys-for-kids-journey-the-game-of-g/p/MCO2070623426?pdp_filters=item_id%3AMCO3553086868#polycard_client=search-desktop&amp;search_layout=grid&amp;position=3&amp;type=item&amp;tracking_id=05dfc471-18b2-4676-958c-afaf00c2c0cd</t>
  </si>
  <si>
    <t>PEPE GANGA</t>
  </si>
  <si>
    <t>https://www.pepeganga.com/juego-de-mesa-el-juego-de-life-hasbro-gaming-f0800/p?idsku=280351&amp;srsltid=AfmBOopIGNb1nZClMGOrM3dh7KgycAlVrO78Q71i3axqk7zg37v3t-rtxG4</t>
  </si>
  <si>
    <t>Juego de cartas Cover Your Assets de Grandpa Beck's Games</t>
  </si>
  <si>
    <t>Players take turns revealing cards from their hand. 2. The top set on every player's pile is vulnerable and can be stolen by another player if they reveal a matching asset, or a Wild Silver or Gold card. 3. Players can reveal their own matching assets or wild cards to protect their top set. 4. The last player to reveal a card takes, or keeps the set, along with all the cards used in the challenge, increasing its value and increasing other players' desire to take it.</t>
  </si>
  <si>
    <t>Caja (5,5 x 4 x 1,1 pulgadas)</t>
  </si>
  <si>
    <t>https://www.amazon.com/-/es/Grandpa-Becks-Games-extremadamente-adolescentes/dp/B0077Q0NP2/ref=sr_1_3?__mk_es_US=%C3%85M%C3%85%C5%BD%C3%95%C3%91&amp;crid=34D5TYJPRFGA5&amp;dib=eyJ2IjoiMSJ9.P6Qi3p1Z3ZHNJUzCxHaa12O0VsxAOdG9hOIcemij8IpuqPNKlLkFKBWrp7s_1T7dOU5CBSo2dzY9fSrgfb1_sdpEc6ZqPjMpBI05LGbkZBoHV_WrJVpfbgCrHjIdYcyfLve8ZaCMuQDgSsa1WIMC7texahSgBVDotpVGT7n8oNQDBHS2lfXXI1WFGibnEA2twJcoZ9EChhfb04PencJ8Zo_Wtmg-Mmq7cjTDAuVhq_A.gUiVOH8h8wfJH1LCyNa5zzhmn6LhZMI9qgP8ZAD8H5I&amp;dib_tag=se&amp;keywords=accounting+game&amp;qid=1771616129&amp;sprefix=accounting+ga,aps,240&amp;sr=8-3
https://www.mercadolibre.com.co/jogo-de-cartas-cover-your-assets-2-6-jogadores-com-mais-de/p/MCO2056531167?matt_tool=19390127&amp;utm_source=google_shopping&amp;utm_medium=organic&amp;pdp_filters=item_id%3AMCO1798458213&amp;from=gshop</t>
  </si>
  <si>
    <t>https://www.amazon.com/-/es/Grandpa-Becks-Games-extremadamente-adolescentes/dp/B0077Q0NP2/ref=sr_1_3?__mk_es_US=%C3%85M%C3%85%C5%BD%C3%95%C3%91&amp;crid=34D5TYJPRFGA5&amp;dib=eyJ2IjoiMSJ9.P6Qi3p1Z3ZHNJUzCxHaa12O0VsxAOdG9hOIcemij8IpuqPNKlLkFKBWrp7s_1T7dOU5CBSo2dzY9fSrgfb1_sdpEc6ZqPjMpBI05LGbkZBoHV_WrJVpfbgCrHjIdYcyfLve8ZaCMuQDgSsa1WIMC7texahSgBVDotpVGT7n8oNQDBHS2lfXXI1WFGibnEA2twJcoZ9EChhfb04PencJ8Zo_Wtmg-Mmq7cjTDAuVhq_A.gUiVOH8h8wfJH1LCyNa5zzhmn6LhZMI9qgP8ZAD8H5I&amp;dib_tag=se&amp;keywords=accounting+game&amp;qid=1771616129&amp;sprefix=accounting+ga,aps,240&amp;sr=8-3</t>
  </si>
  <si>
    <t>https://www.mercadolibre.com.co/jogo-de-cartas-cover-your-assets-2-6-jogadores-com-mais-de/p/MCO2056531167?matt_tool=19390127&amp;utm_source=google_shopping&amp;utm_medium=organic&amp;pdp_filters=item_id%3AMCO1798458213&amp;from=gshop</t>
  </si>
  <si>
    <t>Juego de cartas en inglés "The Leader's Toolkit", 54 cartas con herramientas para resolver problemas</t>
  </si>
  <si>
    <t>El kit de herramientas del líder: 54 tarjetas para resolver problemas: fortalece el rendimiento del equipo, domina uno a uno, maneja empleados difíciles y construye líderes seguros. Sistema interactivo de resolución de problemas. Material: papel</t>
  </si>
  <si>
    <t>Caja (14,5x8.9 cm)</t>
  </si>
  <si>
    <t>https://www.amazon.com/-/es/kit-herramientas-del-l%C3%ADder-rendimiento/dp/B0DGLJZJPG/ref=sr_1_42?adgrpid=146768152940&amp;dib=eyJ2IjoiMSJ9.4pYUQu8H_RTuiQmdt93Z8JQ3itcaxFQvt5CExnGyk5C4tzIaHR-Js12RU1miM3bxBEggw87EszdXQ0-pznG1CUoRFMjUkr_ESU2NUpDyC7WgCTsN2qtdW7fbZ0HSPP_f2Qiopd4097r_YdRsQVHYdgoq_JGO5xOf5K11x9yv9ZpymyLJueNPl6K8I_L8lNS-TLURT6IdzGphkNYEyyWeIgmqRgoBBKk7SCuVRzs6QqYAE15PaOL2u5EZPpdKITg1MTTkfue-UC_yXHDdfGBgA4Lu4JHqenQX6fLNSvHB9KI.lCD3_OmsB07wocdMF7TRtyUDETNjqi_j5reIsmzCoR0&amp;dib_tag=se&amp;hvadid=673169177250&amp;hvdev=c&amp;hvlocphy=9208769&amp;hvnetw=g&amp;hvqmt=b&amp;hvrand=14608118402297896878&amp;hvtargid=kwd-295254559889&amp;hydadcr=7244_13380580&amp;keywords=team+building+games+for+adults&amp;mcid=ca962811a2c230c2b7ef35bbfd909ff2&amp;qid=1771850463&amp;sr=8-42
https://leadertools.co/products/the-leaders-toolkit?srsltid=AfmBOookFFhROnoE6N7MNm8uLERCcQuo6rSI_WuBofTc-FaoLCBteUqI</t>
  </si>
  <si>
    <t>https://www.amazon.com/-/es/kit-herramientas-del-l%C3%ADder-rendimiento/dp/B0DGLJZJPG/ref=sr_1_42?adgrpid=146768152940&amp;dib=eyJ2IjoiMSJ9.4pYUQu8H_RTuiQmdt93Z8JQ3itcaxFQvt5CExnGyk5C4tzIaHR-Js12RU1miM3bxBEggw87EszdXQ0-pznG1CUoRFMjUkr_ESU2NUpDyC7WgCTsN2qtdW7fbZ0HSPP_f2Qiopd4097r_YdRsQVHYdgoq_JGO5xOf5K11x9yv9ZpymyLJueNPl6K8I_L8lNS-TLURT6IdzGphkNYEyyWeIgmqRgoBBKk7SCuVRzs6QqYAE15PaOL2u5EZPpdKITg1MTTkfue-UC_yXHDdfGBgA4Lu4JHqenQX6fLNSvHB9KI.lCD3_OmsB07wocdMF7TRtyUDETNjqi_j5reIsmzCoR0&amp;dib_tag=se&amp;hvadid=673169177250&amp;hvdev=c&amp;hvlocphy=9208769&amp;hvnetw=g&amp;hvqmt=b&amp;hvrand=14608118402297896878&amp;hvtargid=kwd-295254559889&amp;hydadcr=7244_13380580&amp;keywords=team+building+games+for+adults&amp;mcid=ca962811a2c230c2b7ef35bbfd909ff2&amp;qid=1771850463&amp;sr=8-42</t>
  </si>
  <si>
    <t>leadertools</t>
  </si>
  <si>
    <t>https://leadertools.co/products/the-leaders-toolkit?srsltid=AfmBOookFFhROnoE6N7MNm8uLERCcQuo6rSI_WuBofTc-FaoLCBteUqI</t>
  </si>
  <si>
    <t>Juego de enhebrar en madera</t>
  </si>
  <si>
    <t>herramientas de estimulación neuro-cognitiva diseñadas para trabajar la plasticidad cerebral a través de la coordinación bimanual y la resolución de problemas espaciales.
Presentacion: caja de 17 cm x 15 cm
Contiene: 2 tablas en madera, 20 tarjetas (7,5 cm x 2,95 cm), 6 hilos (83 cm x 32,6 cm)</t>
  </si>
  <si>
    <t>https://www.mercadolibre.com.co/juguetes-para-enhebrar-cuerda-juego-de-enhebrado/p/MCO2022883780?matt_tool=19390127&amp;utm_source=google_shopping&amp;utm_medium=organic&amp;pdp_filters=item_id%3AMCO3352384770&amp;from=gshop
https://www.amazon.es/Homealexa-Montessori-Actividad-Aprendizaje-Educaci%C3%B3n/dp/B07WPCS8R1/ref=sr_1_19_sspa?dib=eyJ2IjoiMSJ9.o6IWtibCNOa3pY5yaNwQGliGCbKFEFcj268qjrFlQvpTtjygVVJbQ-l0m1dhC0fKUVQL_uLO0--FjPEwPPRMQIEsl3293i2nvGl7Ujv2iPcmnNr0uRYM2X08uE-gZBkLZbJswAU3UaakEap8HObwFcVc4jYJnKLfzKZpEV2ougUgkDQqUoOWqgLEwnoGcG2eaGeu8WHUNIFBza-OFFYByiNIQW7Us09X7A0PcSyCAXTn9jCcSwGrr9zS3XxQb-HddOgqPsYnFIp5eCzgqlq2DcDCkR_AyqKd-G1-Jmc6Odo.Cd1xZU4GS1wopyZ6KGKL1mQHAEhaUinjWoWdMHm7JPs&amp;dib_tag=se&amp;keywords=enhebrar+juguete&amp;qid=1774369140&amp;sr=8-19-spons&amp;aref=rjVjy8uTkU&amp;sp_csd=d2lkZ2V0TmFtZT1zcF9tdGY&amp;psc=1&amp;language=es_ES&amp;currency=COP</t>
  </si>
  <si>
    <t>https://www.mercadolibre.com.co/juguetes-para-enhebrar-cuerda-juego-de-enhebrado/p/MCO2022883780?matt_tool=19390127&amp;utm_source=google_shopping&amp;utm_medium=organic&amp;pdp_filters=item_id%3AMCO3352384770&amp;from=gshop</t>
  </si>
  <si>
    <t>https://www.amazon.es/Homealexa-Montessori-Actividad-Aprendizaje-Educaci%C3%B3n/dp/B07WPCS8R1/ref=sr_1_19_sspa?dib=eyJ2IjoiMSJ9.o6IWtibCNOa3pY5yaNwQGliGCbKFEFcj268qjrFlQvpTtjygVVJbQ-l0m1dhC0fKUVQL_uLO0--FjPEwPPRMQIEsl3293i2nvGl7Ujv2iPcmnNr0uRYM2X08uE-gZBkLZbJswAU3UaakEap8HObwFcVc4jYJnKLfzKZpEV2ougUgkDQqUoOWqgLEwnoGcG2eaGeu8WHUNIFBza-OFFYByiNIQW7Us09X7A0PcSyCAXTn9jCcSwGrr9zS3XxQb-HddOgqPsYnFIp5eCzgqlq2DcDCkR_AyqKd-G1-Jmc6Odo.Cd1xZU4GS1wopyZ6KGKL1mQHAEhaUinjWoWdMHm7JPs&amp;dib_tag=se&amp;keywords=enhebrar+juguete&amp;qid=1774369140&amp;sr=8-19-spons&amp;aref=rjVjy8uTkU&amp;sp_csd=d2lkZ2V0TmFtZT1zcF9tdGY&amp;psc=1&amp;language=es_ES&amp;currency=COP</t>
  </si>
  <si>
    <t>Juego de imágenes Rafly</t>
  </si>
  <si>
    <t>Juego de mesa de observación, agilidad mental y reflejos para 2 a 8 jugadores, recomendado para mayores de 6 años. Incluye 55 cartas con 8 símbolos cada una, donde siempre hay un dibujo en común entre cualquier carta y la central. El objetivo es encontrar el símbolo igual y quedarse sin cartas primero</t>
  </si>
  <si>
    <t>Caja</t>
  </si>
  <si>
    <t>https://www.panamericana.com.co/rafly-455640/p?srsltid=AfmBOopnsEOUjuj5dBT6-s0hfFCKWPe3e7II_47RkTDl_Ai0x-NPurVf
https://www.alkosto.com/juego-mesa-rafly-cartas/p/7703493165357?srsltid=AfmBOooMPD5PCdymTkXtzCpB8K_v1jaFi0LGxPuCpVHrLf7xDcl02OvX</t>
  </si>
  <si>
    <t>https://www.panamericana.com.co/rafly-455640/p?srsltid=AfmBOopnsEOUjuj5dBT6-s0hfFCKWPe3e7II_47RkTDl_Ai0x-NPurVf</t>
  </si>
  <si>
    <t>ALKOSTO</t>
  </si>
  <si>
    <t>https://www.alkosto.com/juego-mesa-rafly-cartas/p/7703493165357?srsltid=AfmBOooMPD5PCdymTkXtzCpB8K_v1jaFi0LGxPuCpVHrLf7xDcl02OvX</t>
  </si>
  <si>
    <t>Juego de Mesa "Spots" edición en inglés</t>
  </si>
  <si>
    <t>Spots is a casual push your luck game from CMYK. On your turn, you'll be rolling and placing dice onto dog cards. Dice you can't place get buried in your yard. Bury too many dice and you bust. Complete 6 dogs and you win!</t>
  </si>
  <si>
    <t>Caja (17.78 x 12.7 x 5.08 cm)</t>
  </si>
  <si>
    <t>https://www.mercadolibre.com.co/spots-un-juego-sobre-lanzar-dados-para-aumentar-tu-suerte/p/MCO2047506200
https://www.amazon.com/-/es/Juego-dados-CMYK-Spots-aumentar/dp/B0BJFJSS23?th=1</t>
  </si>
  <si>
    <t>https://www.mercadolibre.com.co/spots-un-juego-sobre-lanzar-dados-para-aumentar-tu-suerte/p/MCO2047506200</t>
  </si>
  <si>
    <t>https://www.amazon.com/-/es/Juego-dados-CMYK-Spots-aumentar/dp/B0BJFJSS23?th=1</t>
  </si>
  <si>
    <t>Juego de Mesa El Erudito</t>
  </si>
  <si>
    <t>Juego de preguntas y respuestas orientado al conocimiento general y razonamiento lógico. Promueve la rapidez mental, la estructuración de respuestas y la competencia sana.</t>
  </si>
  <si>
    <t>Juego de mesa</t>
  </si>
  <si>
    <t>INGENIO DESTREZA MENTAL</t>
  </si>
  <si>
    <t>https://www.ingeniodestrezamental.com/products/juego-de-mesa-el-erudito?srsltid=AfmBOopNgjBemaTCVYRcYqlJqoGmHLzIYZOloRXiEIm6CsbTBBWEvJQr
https://todoenartes.com/products/juego-de-mesa-el-erudito-ingenio-destreza?variant=42651266875470&amp;country=CO&amp;currency=COP&amp;utm_medium=product_sync&amp;utm_source=google&amp;utm_content=sag_organic&amp;utm_campaign=sag_organic&amp;srsltid=AfmBOopio2zkRhbrU0Vr5r2fS_TdAPZbFBwrl73h8408wVatgA6jtLqYHY0</t>
  </si>
  <si>
    <t>https://www.ingeniodestrezamental.com/products/juego-de-mesa-el-erudito?srsltid=AfmBOopNgjBemaTCVYRcYqlJqoGmHLzIYZOloRXiEIm6CsbTBBWEvJQr</t>
  </si>
  <si>
    <t>https://todoenartes.com/products/juego-de-mesa-el-erudito-ingenio-destreza?variant=42651266875470&amp;country=CO&amp;currency=COP&amp;utm_medium=product_sync&amp;utm_source=google&amp;utm_content=sag_organic&amp;utm_campaign=sag_organic&amp;srsltid=AfmBOopio2zkRhbrU0Vr5r2fS_TdAPZbFBwrl73h8408wVatgA6jtLqYHY0</t>
  </si>
  <si>
    <t>Juego de mesa en inglés "CoderMindz"</t>
  </si>
  <si>
    <t>Coder Mindz es el único juego de mesa y juguete STEM que enseña conceptos de codificación e inteligencia artificial usando una jugabilidad divertida. Enseña reconocimiento de imágenes, entrenamiento, inferencia, datos, aprendizaje adaptativo, autónomo y más. También enseña conceptos de codificación como bucles, funciones, condicionales y escritura de algoritmos y más. Juego para 11 jugadores.</t>
  </si>
  <si>
    <t>Caja (30x23,1x5 cm)</t>
  </si>
  <si>
    <t>https://www.mercadolibre.com.co/juego-de-mesa-codermindz-para-estudiantes-de-ia-a-partir-de/p/MCO2042031997#polycard_client=search-desktop&amp;search_layout=grid&amp;position=1&amp;type=product&amp;tracking_id=ba10be18-a9fc-4012-95d7-0dbe7389230e&amp;wid=MCO3328670208&amp;sid=search
https://www.amazon.com/%C2%A1Juego-CoderMindz-para-aprendices-Presentado/dp/B07FTG78C3/ref=sr_1_9?__mk_es_US=%C3%85M%C3%85%C5%BD%C3%95%C3%91&amp;crid=FDK6OSSLYMQJ&amp;dib=eyJ2IjoiMSJ9.8TEwlzyjfpR7C9WPW52F5pTUuDxCHFXfDjpf2OHhqtxRGMlwTF8dXkIrX2Btl0vKFWZzymTCSiWDmauiCJAw-A7i_59jz_UYfJwF8qEJQrKrRLRRgMgmwRuN-D5cfd4UQ_iqos_aJQPK0BMaixf8-TYk5HwWkyjZR3CQoz_9HmjBtcval0nCxm3ihoDksIIvInjAE_V_6KsphGdm7Hzwr32hPhTAXw-Kx0L70MFvG4zfcluT3vHIkvkYWxKgesv43TscaxxCqefHO7Fh2mhnJVq3_UsUGMsOQjmV8k3THug.6tQyAKWPE2Wm5ouNF_I_3fxxzlSRTuCezbxmf-Pl410&amp;dib_tag=se&amp;keywords=software+programming+educational+board+game&amp;qid=1771855542&amp;sprefix=software+programming+educational+board+game%2Caps%2C183&amp;sr=8-9&amp;language=en_US&amp;currency=COP</t>
  </si>
  <si>
    <t>https://www.mercadolibre.com.co/juego-de-mesa-codermindz-para-estudiantes-de-ia-a-partir-de/p/MCO2042031997#polycard_client=search-desktop&amp;search_layout=grid&amp;position=1&amp;type=product&amp;tracking_id=ba10be18-a9fc-4012-95d7-0dbe7389230e&amp;wid=MCO3328670208&amp;sid=search</t>
  </si>
  <si>
    <t>https://www.amazon.com/%C2%A1Juego-CoderMindz-para-aprendices-Presentado/dp/B07FTG78C3/ref=sr_1_9?__mk_es_US=%C3%85M%C3%85%C5%BD%C3%95%C3%91&amp;crid=FDK6OSSLYMQJ&amp;dib=eyJ2IjoiMSJ9.8TEwlzyjfpR7C9WPW52F5pTUuDxCHFXfDjpf2OHhqtxRGMlwTF8dXkIrX2Btl0vKFWZzymTCSiWDmauiCJAw-A7i_59jz_UYfJwF8qEJQrKrRLRRgMgmwRuN-D5cfd4UQ_iqos_aJQPK0BMaixf8-TYk5HwWkyjZR3CQoz_9HmjBtcval0nCxm3ihoDksIIvInjAE_V_6KsphGdm7Hzwr32hPhTAXw-Kx0L70MFvG4zfcluT3vHIkvkYWxKgesv43TscaxxCqefHO7Fh2mhnJVq3_UsUGMsOQjmV8k3THug.6tQyAKWPE2Wm5ouNF_I_3fxxzlSRTuCezbxmf-Pl410&amp;dib_tag=se&amp;keywords=software+programming+educational+board+game&amp;qid=1771855542&amp;sprefix=software+programming+educational+board+game%2Caps%2C183&amp;sr=8-9&amp;language=en_US&amp;currency=COP</t>
  </si>
  <si>
    <t>Juego de mesa en inglés "Paycheck to Billionaire"</t>
  </si>
  <si>
    <t>Juego de mesa en inglés para 3-6 jugadores. Juego de mesa inteligente de inversión y gestión de costos. un juego de mesa estratégico que imparte habilidades en gestión de costos e inversión inteligente desde la startup hasta el imperio.</t>
  </si>
  <si>
    <t>Caja (27,9x27,9x0,2 cm)</t>
  </si>
  <si>
    <t>https://www.amazon.com/-/es/Paycheck-Billionaire-Financial-inteligente-inversi%C3%B3n/dp/B0D5LD5R7R?th=1
https://www.mercadolibre.com.co/juego-de-mesa-inteligente-de-inversion-y-gestion-de-costos/up/MCOU3337549033</t>
  </si>
  <si>
    <t>https://www.amazon.com/-/es/Paycheck-Billionaire-Financial-inteligente-inversi%C3%B3n/dp/B0D5LD5R7R?th=1</t>
  </si>
  <si>
    <t>https://www.mercadolibre.com.co/juego-de-mesa-inteligente-de-inversion-y-gestion-de-costos/up/MCOU3337549033</t>
  </si>
  <si>
    <t>Juego de Mesa Palabrería</t>
  </si>
  <si>
    <t>Juego dinámico basado en rapidez verbal y asociación de palabras bajo presión de tiempo. Estimula vocabulario y agilidad cognitiva.</t>
  </si>
  <si>
    <t>OLIMPICA</t>
  </si>
  <si>
    <t>https://www.olimpica.com/juego-palabreria/p
https://toysmarket.co/producto/palabreria-juego-de-mesa/</t>
  </si>
  <si>
    <t>https://www.olimpica.com/juego-palabreria/p</t>
  </si>
  <si>
    <t>TOYS MARKET</t>
  </si>
  <si>
    <t>https://toysmarket.co/producto/palabreria-juego-de-mesa/</t>
  </si>
  <si>
    <t>Juego de mesa Sparks Colorful Creativity: con 300 piezas de vibrantes popotes y conectores de construcción</t>
  </si>
  <si>
    <t>Juguetes creativos de construcción STEM de paja 300 piezas para niños. Juguete constructor entrelazado delgado de tubos de encaje DYE educativos..</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</si>
  <si>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https://www.amazon.com/-/es/RAINBOW-TOYFROG-Juguetes-construcci%C3%B3n-juguetes/dp/B01DLKCCBU</t>
  </si>
  <si>
    <t>https://www.amazon.com/-/es/RAINBOW-TOYFROG-Juguetes-construcci%C3%B3n-juguetes/dp/B01DLKCCBU</t>
  </si>
  <si>
    <t>Juego de Mesa The Chameleon</t>
  </si>
  <si>
    <t>Juego de deducción social donde todos los participantes conocen una palabra clave, excepto uno (el “camaleón”), quien debe integrarse a la conversación sin ser descubierto. Se basa en argumentación, observación del discurso y lectura del lenguaje verbal y no verbal.</t>
  </si>
  <si>
    <t>https://www.amazon.com/Chameleon-galardonado-palabras-secretas-adicionales/dp/B09S3ZJJRM/ref=sr_1_1_sspa?adgrpid=167665647824&amp;dib=eyJ2IjoiMSJ9.tpsrxtsh95-DhrNu3c8oQBWxVdYdiLbAknb-3vrXDPLLXf8usaPrRZ9Ism_8ogAcSUkWrKH1Vk2BE44jh4eBYoXt7959bQ2z6gmqPpjOfOFkiyLFcfDdKeM-do1d9UX&amp;th=1&amp;language=es_US
https://www.mercadolibre.com.co/juego-de-mesa-gran-papa-la-chamarra-el-camaleon-descubre-al/p/MCO2033312929?matt_tool=19390127&amp;utm_source=google_shopping&amp;utm_medium=organic&amp;pdp_filters=item_id%3AMCO1791434027&amp;from=gshop</t>
  </si>
  <si>
    <t>https://www.amazon.com/Chameleon-galardonado-palabras-secretas-adicionales/dp/B09S3ZJJRM/ref=sr_1_1_sspa?adgrpid=167665647824&amp;dib=eyJ2IjoiMSJ9.tpsrxtsh95-DhrNu3c8oQBWxVdYdiLbAknb-3vrXDPLLXf8usaPrRZ9Ism_8ogAcSUkWrKH1Vk2BE44jh4eBYoXt7959bQ2z6gmqPpjOfOFkiyLFcfDdKeM-do1d9UX&amp;th=1&amp;language=es_US</t>
  </si>
  <si>
    <t>https://www.mercadolibre.com.co/juego-de-mesa-gran-papa-la-chamarra-el-camaleon-descubre-al/p/MCO2033312929?matt_tool=19390127&amp;utm_source=google_shopping&amp;utm_medium=organic&amp;pdp_filters=item_id%3AMCO1791434027&amp;from=gshop</t>
  </si>
  <si>
    <t>Juego de Mesa
Codenames (Código Secreto)</t>
  </si>
  <si>
    <t>Juego de mesa colaborativo-competitivo basado en asociación semántica de palabras.</t>
  </si>
  <si>
    <t>https://www.mercadolibre.com.co/juego-de-mesa-codenames-pictures-juego-familiar-basico/p/MCO2060017024#polycard_client=search-desktop&amp;search_layout=grid&amp;position=4&amp;type=product&amp;tracking_id=448cb81a-6d67-44fa-a78d-c5807a6bcbc8&amp;wid=MCO1759389979&amp;sid=search
https://ugi-games.com/product/comprar-imagenes-expansion-codigo-secreto-juego-mesa-cartas-espanol-devir-czech-games-edition-nuevo-barato-oferta/</t>
  </si>
  <si>
    <t>https://www.mercadolibre.com.co/juego-de-mesa-codenames-pictures-juego-familiar-basico/p/MCO2060017024#polycard_client=search-desktop&amp;search_layout=grid&amp;position=4&amp;type=product&amp;tracking_id=448cb81a-6d67-44fa-a78d-c5807a6bcbc8&amp;wid=MCO1759389979&amp;sid=search</t>
  </si>
  <si>
    <t>UGI GAMES</t>
  </si>
  <si>
    <t>https://ugi-games.com/product/comprar-imagenes-expansion-codigo-secreto-juego-mesa-cartas-espanol-devir-czech-games-edition-nuevo-barato-oferta/</t>
  </si>
  <si>
    <t>Juego de Palabras Basta</t>
  </si>
  <si>
    <t>El Juego de Palabras Basta es un reto lleno de adrenalina que pondrá a prueba tu ortografía, agilidad mental y velocidad de respuesta. Ideal para reuniones en familia, con amigos o hasta como herramienta educativa en el aula.</t>
  </si>
  <si>
    <t>IOKUS</t>
  </si>
  <si>
    <t>https://iokus.co/products/juego-de-palabras-basta?srsltid=AfmBOood1AB7NiqPyKvmjjvZNNv9SPzC_cm0VEaG0jldV3u6TeqZluVt
https://www.exito.com/basta-el-desafio-de-palabras-que-pondra-a-prueba-tu-agilidad-mental-104223491-mp/p</t>
  </si>
  <si>
    <t>https://iokus.co/products/juego-de-palabras-basta?srsltid=AfmBOood1AB7NiqPyKvmjjvZNNv9SPzC_cm0VEaG0jldV3u6TeqZluVt</t>
  </si>
  <si>
    <t>https://www.exito.com/basta-el-desafio-de-palabras-que-pondra-a-prueba-tu-agilidad-mental-104223491-mp/p</t>
  </si>
  <si>
    <t>Juego De Palabras Misteriosas Con Ahorcado Magnético</t>
  </si>
  <si>
    <t>Magnetic Hangman: ¡el clásico juego de palabras, reinventado para que puedas divertirte mientras viajas!
Redescubre la emoción intemporal de los juegos de palabras con nuestro juego de palabras Magnetic Hangman Mystery, una versión brillante, portátil y sencilla del querido clásico. Diseñado para familias, viajeros y amantes de los rompecabezas de todas las edades, este juego todo en uno transforma cualquier momento en una oportunidad para divertirse y reírse a rabiar. Olvídese de los trozos de papel y las piezas de rompecabezas perdidas; todo lo que necesita para realizar interminables rondas de adivinanzas y deducciones está perfectamente contenido en una elegante y duradera funda que se cierra con un chasquido satisfactorio. El acertijo portátil
definitivo: la genialidad reside en el diseño. El tablero de juego está integrado directamente en la robusta tapa de un maletín de transporte compacto, con una escena ilustrada de un ahorcado. Los mosaicos magnéticos con letras, cada uno con una fuente transparente y fácil de leer, se adhieren de forma segura a la pizarra para evitar que se derramen y se pierdan. Simplemente elige tu palabra misteriosa con la tarjeta de borrado en seco incluida, y tu oponente usará las coloridas y brillantes casillas magnéticas del alfabeto para adivinar las letras. Las conjeturas erróneas se marcan colocando los imanes en forma de X de color rojo, lo que genera suspense a medida que la clásica figura del verdugo va tomando forma. Cuando el juego termina, todas las piezas (letras, X e incluso los rotuladores que se pueden borrar en seco) se guardan perfectamente en su interior, lo que lo convierte en el juego perfecto para viajes por carretera, restaurantes, salas de espera o tardes lluviosas en casa.
Más que solo ortografía: este no es solo un juego de ortografía, es una herramienta para aprender y conectarse. Para los jugadores más jóvenes, desarrolla el vocabulario, refuerza el reconocimiento de letras y enseña el pensamiento estratégico de una manera atractiva y sin presión. Para los adultos y los niños mayores, desafía el pensamiento rápido y la selección creativa de palabras. Las tarjetas con palabras que se pueden borrar en seco te permiten crear categorías personalizadas, desde Animales y Películas hasta Modo Difícil. De esta forma, el juego crece con los jugadores. Es una forma fantástica de desconectar, participar en una competición amistosa y pasar un buen rato sin pantallas.
Un regalo perfecto para jugar sin fin: creado con materiales de alta calidad y seguros para los niños, el juego Magnetic Hangman está hecho para durar. Su estética limpia y clásica atrae a personas de todas las edades. Es el regalo perfecto para cumpleaños, días festivos o como un complemento único para calcetines. Fomenta la alfabetización, el pensamiento crítico y la interacción social, todo ello envuelto en un paquete de pura diversión portátil. ¡
Descubre el misterio de los juegos de palabras! Desafía a tus amigos, deja perplejos a tu familia y agudiza tu mente dondequiera que vayas. Con cientos de palabras posibles en cada ronda, el valor de repetición es infinito.
Olvídate de las libretas desechables y sumérgete en la diversión ingeniosa y organizada de Magnetic Hangman, el juego clásico, perfectamente conservado para una nueva generación. Listo. Set. ¡Adivina!</t>
  </si>
  <si>
    <t>Caja (10,63 x 10,59 x 2,6 pulgadas)</t>
  </si>
  <si>
    <t>https://www.mercadolibre.com.co/juego-de-mesa-ahorcado-magnetico-familiar-para-mesa/p/MCO2048186277#polycard_client=search-desktop&amp;search_layout=grid&amp;position=2&amp;type=product&amp;tracking_id=4c25d0a1-452d-432a-bd95-77cfbb46f991&amp;wid=MCO3529178554&amp;sid=search
https://www.amazon.com/-/es/Fotorama-Magnetic-adivinanzas-oscuridad-misteriosas/dp/B00PPWLGI8/ref=sr_1_2?adgrpid=161745943670&amp;dib=eyJ2IjoiMSJ9.kDe-HN0MpekFulGXTI2NWUE8Fmram1pyyW0XSNXD3rRMPlH8kjpl2vRQY7fpIWsVZVnsuCTO0pIIsO_HcoEWCYTKYZ1RSMPxEMZUReYKKhccWoF0rl2ZxpesKoOHLMJETfwcM3PYk4MjqZN0SPlzswGXkuz4D7ZW8_o_N2mGPC_pE30E3ILUNI8fVvr6TcnmUX1cJPIhhNFemk0A3Jo2Ca5OAZtjPB4D4T8ETMSFb0zw6bc6xqDiO771fVS3u22vVr8yRoomvHiTv8RTky_Kaxb3RFKrMA114xdcNddurSM.4UFS-qu6ij3gRHTJotu4SFguJgpHD_SJ0Q7NpT34WXY&amp;dib_tag=se&amp;hvadid=688078581490&amp;hvdev=c&amp;hvlocphy=9198551&amp;hvnetw=g&amp;hvqmt=e&amp;hvrand=4141326226966963449&amp;hvtargid=kwd-590020736314&amp;hydadcr=3143_13709411&amp;keywords=juego+ahorcado+magnetico&amp;mcid=0a4a4daa1ec13c2da6ba076a214ff613&amp;qid=1774464190&amp;sr=8-2</t>
  </si>
  <si>
    <t>https://www.mercadolibre.com.co/juego-de-mesa-ahorcado-magnetico-familiar-para-mesa/p/MCO2048186277#polycard_client=search-desktop&amp;search_layout=grid&amp;position=2&amp;type=product&amp;tracking_id=4c25d0a1-452d-432a-bd95-77cfbb46f991&amp;wid=MCO3529178554&amp;sid=search</t>
  </si>
  <si>
    <t>https://www.amazon.com/-/es/Fotorama-Magnetic-adivinanzas-oscuridad-misteriosas/dp/B00PPWLGI8/ref=sr_1_2?adgrpid=161745943670&amp;dib=eyJ2IjoiMSJ9.kDe-HN0MpekFulGXTI2NWUE8Fmram1pyyW0XSNXD3rRMPlH8kjpl2vRQY7fpIWsVZVnsuCTO0pIIsO_HcoEWCYTKYZ1RSMPxEMZUReYKKhccWoF0rl2ZxpesKoOHLMJETfwcM3PYk4MjqZN0SPlzswGXkuz4D7ZW8_o_N2mGPC_pE30E3ILUNI8fVvr6TcnmUX1cJPIhhNFemk0A3Jo2Ca5OAZtjPB4D4T8ETMSFb0zw6bc6xqDiO771fVS3u22vVr8yRoomvHiTv8RTky_Kaxb3RFKrMA114xdcNddurSM.4UFS-qu6ij3gRHTJotu4SFguJgpHD_SJ0Q7NpT34WXY&amp;dib_tag=se&amp;hvadid=688078581490&amp;hvdev=c&amp;hvlocphy=9198551&amp;hvnetw=g&amp;hvqmt=e&amp;hvrand=4141326226966963449&amp;hvtargid=kwd-590020736314&amp;hydadcr=3143_13709411&amp;keywords=juego+ahorcado+magnetico&amp;mcid=0a4a4daa1ec13c2da6ba076a214ff613&amp;qid=1774464190&amp;sr=8-2</t>
  </si>
  <si>
    <t>Juego Prevencard Seguridad Vial</t>
  </si>
  <si>
    <t>Esta dinámica te puede ayudar a hacer reflexionar a los conductores sobre la importancia del manejo defensivo y el cumplimiento de las norma de seguridad vial.</t>
  </si>
  <si>
    <t>https://hotmart.com/es/marketplace/productos/prevencar-seguridad-vial/M93778733V
https://ludoprevencion.com/tienda-colombia/</t>
  </si>
  <si>
    <t>https://hotmart.com/es/marketplace/productos/prevencar-seguridad-vial/M93778733V</t>
  </si>
  <si>
    <t>https://ludoprevencion.com/tienda-colombia/</t>
  </si>
  <si>
    <t>Juego SafePlace</t>
  </si>
  <si>
    <t>Juego SafePlace: Juego de mesa, con tablero, fichas, dados y tarjetas, el cual se usa para evaluar la comprensión de la inducción y de las capacitaciones anuales de seguridad y salud en el trabajo, de una forma lúdica..</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</si>
  <si>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https://ludoprevencion.com/tienda-colombia/#1</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</si>
  <si>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t>
  </si>
  <si>
    <t>https://ludoprevencion.com/tienda-colombia/#1</t>
  </si>
  <si>
    <t>Kit de Escritorio Smart</t>
  </si>
  <si>
    <t>Estuche plástico que contiene: Cosedora, ganchos de repuesto x 5, dispensador de cinta adhesiva, clips: 4 unidades en cinco colores diferentes, 15 bandas de caucho en colores y 4 juegos de banderas de papel adhesivas por 80 hojas c/u. Un juego de memos por 60 hojas..</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</si>
  <si>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https://tiendasmg.com.co/producto/kit-escritorio-smart/</t>
  </si>
  <si>
    <t>TIENDAS MG</t>
  </si>
  <si>
    <t>https://tiendasmg.com.co/producto/kit-escritorio-smart/</t>
  </si>
  <si>
    <t>LANAS DE COLORES</t>
  </si>
  <si>
    <t>Paquete de Lana Escolar Paquete x 12 colores surtidos, 7 gms cada uno.</t>
  </si>
  <si>
    <t>PAPELERÍA SUESCUN</t>
  </si>
  <si>
    <t>https://www.suescun.com.co/producto/lana-surtida-x12-su-510/?srsltid=AfmBOorPCm42z51_Q4ywBKftWeVisFRtyVCxrgbgk-p8A6Zomx5UPpEU
https://celestepapeleriayregalos.com/product/lana-escolar-paq-x-12-colores-surtidos-de-7-gms/</t>
  </si>
  <si>
    <t>https://www.suescun.com.co/producto/lana-surtida-x12-su-510/?srsltid=AfmBOorPCm42z51_Q4ywBKftWeVisFRtyVCxrgbgk-p8A6Zomx5UPpEU</t>
  </si>
  <si>
    <t>CELESTE PAPELERÍA Y REGALOS</t>
  </si>
  <si>
    <t>https://celestepapeleriayregalos.com/product/lana-escolar-paq-x-12-colores-surtidos-de-7-gms/</t>
  </si>
  <si>
    <t>Lapicero Bambu Touch 891</t>
  </si>
  <si>
    <t>Lapicero de bambú con punta touch combina la funcionalidad de un lapicero con la capacidad de uso en pantallas táctiles. Está hecho de bambú sostenible.</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</si>
  <si>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https://www.medellincolombia.com.co/product-page/lapicero-bambu-touch-891</t>
  </si>
  <si>
    <t>AdGo</t>
  </si>
  <si>
    <t>https://www.medellincolombia.com.co/product-page/lapicero-bambu-touch-891</t>
  </si>
  <si>
    <t>lapiceros azules</t>
  </si>
  <si>
    <t>Lapicero hexagonal ligero que proporciona una escritura cómoda y controlada. La bola de carburo de tungsteno duradera escribe consistentemente, no se salta ni se mancha. Caja x 12 unidades.Bolígrafo Retráctil Color -azul 1.0 mm, . Tinta tropicalizada de excelente desempeño en todos los climas. Escritura suave y sin interrupciones.. Caja X 12</t>
  </si>
  <si>
    <t>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lagranpapeleria.com/products/copia-de-boligrafo-kilometrico-retractil?variant=35632019341466&amp;country=CO&amp;currency=COP&amp;utm_medium=product_sync&amp;utm_source=google&amp;utm_content=sag_organic&amp;utm_campaign=sag_organic&amp;srsltid=AfmBOopI2WKeHixiARNwc6hXteYm9ugd7wPiz4KbjtYoivjgKnUEoBLIXGQ</t>
  </si>
  <si>
    <t xml:space="preserve">LA GRAN PAPELERÍA </t>
  </si>
  <si>
    <t>https://lagranpapeleria.com/products/copia-de-boligrafo-kilometrico-retractil?variant=35632019341466&amp;country=CO&amp;currency=COP&amp;utm_medium=product_sync&amp;utm_source=google&amp;utm_content=sag_organic&amp;utm_campaign=sag_organic&amp;srsltid=AfmBOopI2WKeHixiARNwc6hXteYm9ugd7wPiz4KbjtYoivjgKnUEoBLIXGQ</t>
  </si>
  <si>
    <t>lapiceros negros</t>
  </si>
  <si>
    <t>Lapicero hexagonal ligero que proporciona una escritura cómoda y controlada. La bola de carburo de tungsteno duradera escribe consistentemente, no se salta ni se mancha. Caja x 12 unidades.Bolígrafo Retráctil Color negro 1.0 mm tinta negra, . Tinta tropicalizada de excelente desempeño en todos los climas. Escritura suave y sin interrupciones.. Caja X 12</t>
  </si>
  <si>
    <t>lapiceros rojos</t>
  </si>
  <si>
    <t>Lapicero hexagonal ligero que proporciona una escritura cómoda y controlada. La bola de carburo de tungsteno duradera escribe consistentemente, no se salta ni se mancha. Caja x 12 unidades.Bolígrafo Retráctil Color rojo 1.0 mm. Tinta tropicalizada de excelente desempeño en todos los climas. Escritura suave y sin interrupciones.. Caja X 12</t>
  </si>
  <si>
    <t xml:space="preserve">
https://garabatospapeleria.com/productos/caja-x-12-boligrafos-semi-gel-0-7-oe-052f-rt-offi-esco-g1c5d/?variant=1303646356&amp;pf=mc&amp;srsltid=AfmBOopb_WX6j5oUENtSfMUHxmD_FWhfwNDlhydTRDz1jAtVFIMD8LUO95I</t>
  </si>
  <si>
    <t>https://garabatospapeleria.com/productos/caja-x-12-boligrafos-semi-gel-0-7-oe-052f-rt-offi-esco-g1c5d/?variant=1303646356&amp;pf=mc&amp;srsltid=AfmBOopb_WX6j5oUENtSfMUHxmD_FWhfwNDlhydTRDz1jAtVFIMD8LUO95I</t>
  </si>
  <si>
    <t>LÁPICES DE COLORES</t>
  </si>
  <si>
    <t>Colores de madera- Resistente mina de 5.0mm - Disponible en 12 colores -Ideales para mezclar, difuminar y sombrear-Colores Triangulares Gruesos. Deben ser NO TOXICOS según NOM-252-55A1-2011 EN71 3:2013</t>
  </si>
  <si>
    <t>CAJA 12</t>
  </si>
  <si>
    <t>EL PUNTO DEL ARTE</t>
  </si>
  <si>
    <t>https://www.elpuntodelarte.com/shop/pa33-color-ah-royal-jumbo-x12-punta-5mm-pac2502-33-53289?category=27
https://www.papyser.com/tienda/producto/lapiz-color-ah-royal-x-12-jumbo-5-mm-+-tajalapiz?srsltid=AfmBOorvHfFGNbLPH1ne_LDob91SCAzv1UfOI--2UrrU6aJ_IbKD0O-q</t>
  </si>
  <si>
    <t>https://www.elpuntodelarte.com/shop/pa33-color-ah-royal-jumbo-x12-punta-5mm-pac2502-33-53289?category=27</t>
  </si>
  <si>
    <t>https://www.papyser.com/tienda/producto/lapiz-color-ah-royal-x-12-jumbo-5-mm-+-tajalapiz?srsltid=AfmBOorvHfFGNbLPH1ne_LDob91SCAzv1UfOI--2UrrU6aJ_IbKD0O-q</t>
  </si>
  <si>
    <t>Lapiz 2H</t>
  </si>
  <si>
    <t>Lapiz 2H exagonal de gafrito, cuerpo de madera color verde, borrador en la base con argolla metalica. CAJA 12 UNIDADES</t>
  </si>
  <si>
    <t>https://www.mercadolibre.com.co/lapiz-faber-castell-9000-2h-caja-x12-und/p/MCO36232448?matt_tool=19390127&amp;utm_source=google_shopping&amp;utm_medium=organic&amp;pdp_filters=item_id%3AMCO1419604331&amp;from=gshop
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</si>
  <si>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https://www.mercadolibre.com.co/lapiz-faber-castell-9000-2h-caja-x12-und/p/MCO36232448?matt_tool=19390127&amp;utm_source=google_shopping&amp;utm_medium=organic&amp;pdp_filters=item_id%3AMCO1419604331&amp;from=gshop</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</si>
  <si>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</si>
  <si>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LÁPIZ NEGRO 2B</t>
  </si>
  <si>
    <t>El lápiz 2B es una herramienta popular entre los artistas debido a su capacidad para crear tonos oscuros y ricos, así como líneas finas y precisas. Es ideal para sombreados, bocetos y detalles. Escritura: Gracias a su suavidad y capacidad para producir trazos oscuros, el lápiz 2B se utiliza comúnmente para la escritura diaria</t>
  </si>
  <si>
    <t>https://garabatospapeleria.com/productos/caja-de-lapices-x12-unidades-graduacion-2b-faber-castell/?srsltid=AfmBOorbOqY6BBYPUzUaf-HqLMWI-UAVAWtKggFicuBteaX-IAUvL0ZZ
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</si>
  <si>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https://garabatospapeleria.com/productos/caja-de-lapices-x12-unidades-graduacion-2b-faber-castell/?srsltid=AfmBOorbOqY6BBYPUzUaf-HqLMWI-UAVAWtKggFicuBteaX-IAUvL0ZZ</t>
  </si>
  <si>
    <t>Lápiz rojo de chequeo x 12 unidades</t>
  </si>
  <si>
    <t>Contenido: 12 lápices • Elaborados con madera reforestada. • Punta más resistente</t>
  </si>
  <si>
    <t>CAJA X 12</t>
  </si>
  <si>
    <t xml:space="preserve">https://garabatospapeleria.com/productos/caja-lapiz-rojo-chequeo-faber-castell/?srsltid=AfmBOopt02_YvxK0YiJyqaUtHSfgbFsO800DolSNJS5h5bftV9U5yc6F
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</si>
  <si>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https://garabatospapeleria.com/productos/caja-lapiz-rojo-chequeo-faber-castell/?srsltid=AfmBOopt02_YvxK0YiJyqaUtHSfgbFsO800DolSNJS5h5bftV9U5yc6F</t>
  </si>
  <si>
    <t xml:space="preserve">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</si>
  <si>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Libreta bambu banderitas</t>
  </si>
  <si>
    <t>Libreta ecológica argollada 70 hojas rayadas con cubierta de acabado tipo bambu, contiene 5 banderitas adhesivas de diferente color y un post it rectangular mediano. Incluye bolígrafo de cartón.</t>
  </si>
  <si>
    <t>PROMALL</t>
  </si>
  <si>
    <t>https://promall.com.co/regalos-corporativos/libreta-bamboo-paper-line?srsltid=AfmBOooXySuyzfSm7P6cdPpEbV8_Hll5Cc_qQkPvcZhx7kyPJLeO94Q4eSs
https://comprapromocionales.com/product/libreta-bambu-banderitas-ba01/</t>
  </si>
  <si>
    <t>https://promall.com.co/regalos-corporativos/libreta-bamboo-paper-line?srsltid=AfmBOooXySuyzfSm7P6cdPpEbV8_Hll5Cc_qQkPvcZhx7kyPJLeO94Q4eSs</t>
  </si>
  <si>
    <t>Compra Promocionales</t>
  </si>
  <si>
    <t>https://comprapromocionales.com/product/libreta-bambu-banderitas-ba01/</t>
  </si>
  <si>
    <t>Libreta Ejecutiva</t>
  </si>
  <si>
    <t>Libreta con cubierta forrada en imitación cuero. Con banda elástica de cierre. Cinta marcadora. 80 hojas rayadas. Tamaño aproximado de la hoja: A5. La libreta de color Natural viene con cubierta en cartón reciclado.. Area impresion: Digital: 13 x 19,5 cm. Tampo: 6 x 2 cm para texto. 4 x 4 cm para parche. Repujado 4 x 4 cm. . Medidas Largo: 1.20 . Medidas Ancho: 14.00 . Medidas Alto: 21.00</t>
  </si>
  <si>
    <t>https://publicitar.com.co/tienda/agendas-y-libretas/libretas/libreta-ejecutiva/?srsltid=AfmBOopeNXLwg7uy9KC0keT0Qu_8ioNDWsx67K-Z1q4_eu07XY38IChm
https://comprapromocionales.com/product/libreta-ejecutiva/</t>
  </si>
  <si>
    <t>https://publicitar.com.co/tienda/agendas-y-libretas/libretas/libreta-ejecutiva/?srsltid=AfmBOopeNXLwg7uy9KC0keT0Qu_8ioNDWsx67K-Z1q4_eu07XY38IChm</t>
  </si>
  <si>
    <t>https://comprapromocionales.com/product/libreta-ejecutiva/</t>
  </si>
  <si>
    <t>Marcador azul punta fina</t>
  </si>
  <si>
    <t>Marcador de punta fina que escribe sobre la mayoría de las superficies. Punta resistente que no se daña. Tinta de secado rápido que no se decolora.
Color: azul
Alta precisión gracias a la punta fina
Escriben sobre: papel, plástico, metal, madera, vidrio y muchas otras superficies porosas y no porosas
Tinta: indeleble y resistente al agua
Cierre: Hermético con capuchón que evita el secado de la tinta
Cuerpo: solido
Forma del cuerpo: redondo
Material del cuerpo: Polipropileno
Material de la punta: acrilica
Tipo de punta: Bala
Grosor del trazo: 0.9 mm
Metros de escritura: 400
Tipo de tinta: Base solventa y colorantes
Presentacion: 12 unidades
Conformes a la norma ASTM D-4236. paquete x 12 unidades</t>
  </si>
  <si>
    <t>Paquete X12</t>
  </si>
  <si>
    <t>PRINTELL</t>
  </si>
  <si>
    <t>https://printell.com.co/producto/marcador-borrable-printell-surtido/
https://productosysuministros.com/web/producto/1752-marcador-permanente-sharpie-punta-fina-azul-x-12-unidades?srsltid=AfmBOopzKVl41kylHgi6KYX1-AUJPorEipaZKPGGG7uq72ryvTKrBWq5</t>
  </si>
  <si>
    <t>https://printell.com.co/producto/marcador-borrable-printell-surtido/</t>
  </si>
  <si>
    <t>Productos y suministros</t>
  </si>
  <si>
    <t>https://productosysuministros.com/web/producto/1752-marcador-permanente-sharpie-punta-fina-azul-x-12-unidades?srsltid=AfmBOopzKVl41kylHgi6KYX1-AUJPorEipaZKPGGG7uq72ryvTKrBWq5</t>
  </si>
  <si>
    <t>Marcador de vinilo</t>
  </si>
  <si>
    <t>Para marcar tarjetas con grosor de la punta de 30mm colores surtidos(amarillo, azùl, rojo, verde, naranja, morado, negro, blanco, cafe, gris, dorado, plateado, lila, rosado) ideal papel, plástico, madera, vidrio, metal y una variedad de otras superficies, resistente al agua despuès del secado.
Perfecto para hacer letras anchas en carteles y más de 30 mm. Caja x 12 Unidades colores surtidos</t>
  </si>
  <si>
    <t>Marcador negro punta fina</t>
  </si>
  <si>
    <t>Marcador de punta fina que escribe sobre la mayoría de las superficies. Punta resistente que no se daña. Tinta de secado rápido que no se decolora.
Color: negro
Alta precisión gracias a la punta fina
Escriben sobre: papel, plástico, metal, madera, vidrio y muchas otras superficies porosas y no porosas
Tinta: indeleble y resistente al agua
Cierre: Hermético con capuchón que evita el secado de la tinta
Cuerpo: solido
Forma del cuerpo: redondo
Material del cuerpo: Polipropileno
Material de la punta: acrilica
Tipo de punta: Bala
Grosor del trazo: 0.9 mm
Metros de escritura: 400
Tipo de tinta: Base solventa y colorantes
Presentacion: 12 unidades
Conformes a la norma ASTM D-4236. paquete x 12 unidades</t>
  </si>
  <si>
    <t>https://printell.com.co/producto/marcador-borrable-printell-negro/
https://www.comercialpapelera.com.co/tienda/marcador-permanente-punta-fina-caja-x12-und-negro-p790635240?srsltid=AfmBOooO4Glgvi7ZhKNNP2fYkc8ET0uuUjo3enwr91JL8NyV4bp-9wx4</t>
  </si>
  <si>
    <t>https://printell.com.co/producto/marcador-borrable-printell-negro/</t>
  </si>
  <si>
    <t>COMERCIAL PAPELERA</t>
  </si>
  <si>
    <t>https://www.comercialpapelera.com.co/tienda/marcador-permanente-punta-fina-caja-x12-und-negro-p790635240?srsltid=AfmBOooO4Glgvi7ZhKNNP2fYkc8ET0uuUjo3enwr91JL8NyV4bp-9wx4</t>
  </si>
  <si>
    <t>Marcador Permanente Punta Gruesa</t>
  </si>
  <si>
    <t>Marcadores de colores.
Marcadores para bocetar, pintar o escribir sobre papel,
cartón o madera, etc.
Tinta no tóxica a base de agua, seca rápidamente.
Gran capacidad de tinta.
Tapa anti-asfixiante.
Punta grueso redondeada, ancho de trazo aprox. 3.7 mm.
Con punta cónica y gruesa.
Colores mínimos necesarios: Rojo, negro, Verde, Azul,
Morado. caja x 12 colores surtidos punta gruesa. Este marcador ofrece una tinta negra intensa y duradera, ideal para escribir en una variedad de superficies. La punta gruesa permite líneas fuertes y bien definidas, perfecta para destacar información importante.</t>
  </si>
  <si>
    <t>MAERCADO LIBRE</t>
  </si>
  <si>
    <t>https://www.mercadolibre.com.co/marcador-permanente-colores-surtidos-caja-x-12-marcadores/up/MCOU2658636450
https://papelerialagran12.com/productos/marcador-permanente-triton-xund/</t>
  </si>
  <si>
    <t>https://www.mercadolibre.com.co/marcador-permanente-colores-surtidos-caja-x-12-marcadores/up/MCOU2658636450</t>
  </si>
  <si>
    <t>https://papelerialagran12.com/productos/marcador-permanente-triton-xund/</t>
  </si>
  <si>
    <t>Marcadores acrílicos a base de agua</t>
  </si>
  <si>
    <t>Son herramientas versátiles y fáciles de usar que contienen pintura acrílica en formato líquido. A diferencia de los marcadores tradicionales, estos están diseñados para ofrecer una amplia gama de colores y una cobertura opaca similar a la pintura acrílica. La característica principal de los marcadores a base de agua es que se pueden usar sobre diversas superficies, como papel, madera, plástico, vidrio, metal y lienzo, roca y cerámica, lo que los hace ideales para artistas, diseñadores, artesanos y aficionados al DIY (Do It Yourself).
Marcadores creativos con tinta efecto tipo pintura que no traspasa el papel.
Colores que resaltan en superficies claras y oscuras; marcan con intensidad sobre papel, metal, madera, cerámica, vidrio, piedra y lienzo.
No necesitan preparación ni llenado, solo destapa y crea. Para mejores resultados, guárdalos en posición horizontal.
Colores que se pueden usar sobre otro sin mezclarse
Surtidos.
Color: Surtidos
Tamaño: 12 Piezas
Tipo de punta: Bala</t>
  </si>
  <si>
    <t>Kit x 12</t>
  </si>
  <si>
    <t>EL RIO PAPELERIA</t>
  </si>
  <si>
    <t>https://papeleriaelrio.com.co/producto/marcador-sharpie-acrilico-p-bala-carton-x12-und-ref2201070/
https://www.pricesmart.com/es-co/producto/sharpie-marcadores-acrilicos-a-base-de-agua-12-unidades-511851/511851</t>
  </si>
  <si>
    <t>https://papeleriaelrio.com.co/producto/marcador-sharpie-acrilico-p-bala-carton-x12-und-ref2201070/</t>
  </si>
  <si>
    <t>PRICESMART</t>
  </si>
  <si>
    <t>https://www.pricesmart.com/es-co/producto/sharpie-marcadores-acrilicos-a-base-de-agua-12-unidades-511851/511851</t>
  </si>
  <si>
    <t>Marcadores permanente de punta fina de colores (doble punta)</t>
  </si>
  <si>
    <t>Marcadores permanentes
Características
Tinta marca permanentemente en papel, plástico, metal y en la mayoría de las superficies.
Los colores intensamente vivos crean impresiones vibrantes y llamativas.
Tinta de secado rápido, resistente a la decoloración y el agua.
Certificado AP .
La versátil doble punta hace marcas impresionantes, audaces y detalladas.
Contenido: 8 Marcadores Permanentes Doble Punta Surtidos.
Color: Surtidos
Tamaño:8 Piezas
Tipo de punta:Doble punta
Tipo de cuerpo: Plástico</t>
  </si>
  <si>
    <t>Kit x 8</t>
  </si>
  <si>
    <t xml:space="preserve">https://www.olimpica.com/sharpie-twin-tip-tx8/p
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</si>
  <si>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https://www.olimpica.com/sharpie-twin-tip-tx8/p</t>
  </si>
  <si>
    <t xml:space="preserve">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</si>
  <si>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Marcadores recargables y borrable - colores surtidos</t>
  </si>
  <si>
    <t>Marcador borrable recargable para escribir y marcar sobre tableros blancos y también adecuado para flipcharts. La tinta del Marcador borrable recargable es resistente a la acción de la luz y de secado rápido. Rojo - Negro - Azul - Violeta - Verde. Marcador Borrable Para Tablero caja X 12 Unidades</t>
  </si>
  <si>
    <t>Memoria de almacenamiento USB 16</t>
  </si>
  <si>
    <t>unidad USB, también denominada unidad Flash, lápiz o pincho de memoria, es un pequeño dispositivo portátil que se inserta en el puerto USB del ordenador. Normalmente, las unidades USB se utilizan para almacenamiento, copia de seguridad de datos y transferencia de archivos entre dispositivos. capacidad 16gbcapacidad de 16 gb -interfaz host usb 2.0/2.0
-almacenamiento en memoria flash nan
-usb lista para windows, linux y mac readyboost
dimensiones 55 mm x 21 mm x 10,1 mm aproximadamente.
los productos deberán estar debidamente protegidos en empaques unitarios y en cartones, tamaño manejable con membretes que identifiquen la cantidad y tipo de usb para envíos nacionales o internacionales.</t>
  </si>
  <si>
    <t>Memoria USB 32gb</t>
  </si>
  <si>
    <t>Pendrive USB 32gb, compatible con Microsoft y Mac, multiusos. Conector USB-A</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</si>
  <si>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https://www.panamericana.com.co/memoria-usb-de-32gb-metal-3-2-maxell-667733/p?idsku=667733&amp;srsltid=AfmBOooYc9B7zux15jmwmjflGbSxwkuOf7iaODvyKORIGTNCemWi-o1gCeg</t>
  </si>
  <si>
    <t>https://www.panamericana.com.co/memoria-usb-de-32gb-metal-3-2-maxell-667733/p?idsku=667733&amp;srsltid=AfmBOooYc9B7zux15jmwmjflGbSxwkuOf7iaODvyKORIGTNCemWi-o1gCeg</t>
  </si>
  <si>
    <t>Minas 0.7</t>
  </si>
  <si>
    <t>Para uso en portaminas 0.7mm. Por ser minas polimerizadas se obtiene mayor resistencia y se evita el fácil rompimiento. Contarás con una suavidad excepcional y gran durabilidad del grafito. . caja X 12 piezas</t>
  </si>
  <si>
    <t>MUG TINTERO PERSONZALIZADO</t>
  </si>
  <si>
    <t>Pocillo tintero, personalizado con el logo del SENA en color negro</t>
  </si>
  <si>
    <t>https://www.mercadolibre.com.co/mugs-pocillos-vasos-personalizados-medellin/up/MCOU2431601503?pdp_filters=item_id:MCO832077733#is_advertising=true&amp;searchVariation=MCOU2431601503&amp;backend_model=search-backend&amp;position=3&amp;search_layout=grid&amp;type=pad&amp;tracking_id=4e60d9d5-3546-4ef1-b72d-22efa2650696&amp;ad_domain=VQCATCORE_LST&amp;ad_position=3&amp;ad_click_id=ZjE1YWE1ZjMtMWJlNy00M2ZlLWE3NTUtMjllNjYwZGMzY2Uz
https://imprinco.com/producto/pocillo-mug-personalizado/</t>
  </si>
  <si>
    <t>https://www.mercadolibre.com.co/mugs-pocillos-vasos-personalizados-medellin/up/MCOU2431601503?pdp_filters=item_id:MCO832077733#is_advertising=true&amp;searchVariation=MCOU2431601503&amp;backend_model=search-backend&amp;position=3&amp;search_layout=grid&amp;type=pad&amp;tracking_id=4e60d9d5-3546-4ef1-b72d-22efa2650696&amp;ad_domain=VQCATCORE_LST&amp;ad_position=3&amp;ad_click_id=ZjE1YWE1ZjMtMWJlNy00M2ZlLWE3NTUtMjllNjYwZGMzY2Uz</t>
  </si>
  <si>
    <t>IMPRINCO</t>
  </si>
  <si>
    <t>https://imprinco.com/producto/pocillo-mug-personalizado/</t>
  </si>
  <si>
    <t>OJOS LOCOS</t>
  </si>
  <si>
    <t>Ojos Movibles Redondo 12mm Para Manualidades X100und</t>
  </si>
  <si>
    <t>https://www.mercadolibre.com.co/ojos-movibles-para-manualidades-x100-con-pestana-12mm/up/MCOU3149277615
https://papelerialagran12.com/productos/ojos-movibles-x-paquete/?srsltid=AfmBOophQQFDsdnCtSm_H-NEsjbAQTFfTWs_9ktroMJHRTkwm2kUXMmQ</t>
  </si>
  <si>
    <t>https://www.mercadolibre.com.co/ojos-movibles-para-manualidades-x100-con-pestana-12mm/up/MCOU3149277615</t>
  </si>
  <si>
    <t>https://papelerialagran12.com/productos/ojos-movibles-x-paquete/?srsltid=AfmBOophQQFDsdnCtSm_H-NEsjbAQTFfTWs_9ktroMJHRTkwm2kUXMmQ</t>
  </si>
  <si>
    <t>OPALINA</t>
  </si>
  <si>
    <t>Cartulina Opalina Carta x 100 Hojas
Tipo: Cartulina Opalina
Color: Blanco
Gramaje: 180 gr.
Tamaño: Carta (21.6 x 28 cm). Paquete x 100 unidades</t>
  </si>
  <si>
    <t xml:space="preserve">https://productosysuministros.com/web/producto/2619-cartulina-opalina-180-grs-carta-100-unidades?srsltid=AfmBOoqWOcYmPm0d7P3fzInSv3ZD5bbmmroOEcZnJrn6yZsbHFAi9BMd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t>
  </si>
  <si>
    <t>https://productosysuministros.com/web/producto/2619-cartulina-opalina-180-grs-carta-100-unidades?srsltid=AfmBOoqWOcYmPm0d7P3fzInSv3ZD5bbmmroOEcZnJrn6yZsbHFAi9BMd</t>
  </si>
  <si>
    <t xml:space="preserve">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t>
  </si>
  <si>
    <t>Operacion dinamita de LÚDILO</t>
  </si>
  <si>
    <t>Juego de mesa Juego De Mesa Operación Dinamita | Juegos De Mesa Niños 7 Años O Más | Juego Cartas Niños De Matemática</t>
  </si>
  <si>
    <t>JUGUETERIA TRISTRAS</t>
  </si>
  <si>
    <t>https://www.jugueteriatristras.es/juegos-mesa/32853-juego-cartas-operacion-dinamita-8436598030471.html?srsltid=AfmBOortVdaILUTJKiGeFiyEDr_GNaii6HJAVTJ-UoxJUt6QzpgBzD6A
https://www.mijuegobonito.com/products/operacion-dinamita-juego-de-memoria-calculo-y-reflejos-rapidos-7-anos-2-6-jugadores-15-min-ludilo-mi-juego-bonito?srsltid=AfmBOoqcDqnst3UJRnNhY49m3iLmX9ztQgHIfT1Wju3zcT2ojDsbUnAL</t>
  </si>
  <si>
    <t>https://www.jugueteriatristras.es/juegos-mesa/32853-juego-cartas-operacion-dinamita-8436598030471.html?srsltid=AfmBOortVdaILUTJKiGeFiyEDr_GNaii6HJAVTJ-UoxJUt6QzpgBzD6A</t>
  </si>
  <si>
    <t>MI JUEGO BONITO</t>
  </si>
  <si>
    <t>https://www.mijuegobonito.com/products/operacion-dinamita-juego-de-memoria-calculo-y-reflejos-rapidos-7-anos-2-6-jugadores-15-min-ludilo-mi-juego-bonito?srsltid=AfmBOoqcDqnst3UJRnNhY49m3iLmX9ztQgHIfT1Wju3zcT2ojDsbUnAL</t>
  </si>
  <si>
    <t>Papel adhesivo inkjet mate de alta resolución</t>
  </si>
  <si>
    <t>Papel adhesivo mate de alta resolución para impresión inkjet. Ofrece colores nítidos, secado rápido y excelente adherencia sobre superficies lisas. Compatible con tintas base agua (DYE y pigmentadas). Ideal para etiquetas, stickers y señalización interna.
Medida solicitada (recomendada para la T120): rollo: 61 cm x 30 m (estándar para plotter)
Gramaje:120 g/m²
Compatibilidad HP 120:Funciona correctamente en la DesignJet T120 al ser un papel adhesivo mate para impresión inkjet base agua.</t>
  </si>
  <si>
    <t>ROLLO</t>
  </si>
  <si>
    <t>VDGIMPORT</t>
  </si>
  <si>
    <t>https://vdgimport.com/productos/pp/rollo-de-papel-polipropileno-adhesivo-61-cm-x-30-m/
https://www.mercadolibre.cl/papel--adhesivo-mate-polipropileno-061x30-metros/up/MLCU60585461</t>
  </si>
  <si>
    <t>https://vdgimport.com/productos/pp/rollo-de-papel-polipropileno-adhesivo-61-cm-x-30-m/</t>
  </si>
  <si>
    <t>https://www.mercadolibre.cl/papel--adhesivo-mate-polipropileno-061x30-metros/up/MLCU60585461</t>
  </si>
  <si>
    <t>Papel Adhesivo Pleno</t>
  </si>
  <si>
    <t>Descripción del producto:
- Tamaño: Carta
- Hojas: 50
- Textura: Mate
- La cara de impresión es Bond de 75 Gr
- El sticker es propalcote de 90 Gr
- Ideal para impresión Injet y láser. paquete x 50</t>
  </si>
  <si>
    <t xml:space="preserve">https://www.exito.com/papel-adhesivo-pleno-carta-en-mate-x-50-unidades-101369924-mp/p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t>
  </si>
  <si>
    <t>https://www.exito.com/papel-adhesivo-pleno-carta-en-mate-x-50-unidades-101369924-mp/p</t>
  </si>
  <si>
    <t>Papel Bifaz O Doblé Propósito</t>
  </si>
  <si>
    <t>- Papel bifaz o doble propósito. - 5 metros.
- Ancho del papel / 50cm.
- calibre / 10.
- Marca / Leprint.
- Este papel se utiliza para :
Estampar prendas de algodón o prendas oscuras
- Fabricación de apliques textiles con sublimación.
- Este papel es termohaderible solo funciona con calor.
- temperatura de pegado :
180 grados centígrados.
- Tiempo :
20 a 30 segundos
- Presión / media.</t>
  </si>
  <si>
    <t>ROLLO x 5metros</t>
  </si>
  <si>
    <t>https://www.mercadolibre.com.co/papel-bifaz-o-doble-proposito-x-5-metros/up/MCOU2429891405
https://insublitex.com.co/papeleria/42-papel-bifaz-por-10-metros.html#/81-calibre-calibre_10</t>
  </si>
  <si>
    <t>https://www.mercadolibre.com.co/papel-bifaz-o-doble-proposito-x-5-metros/up/MCOU2429891405</t>
  </si>
  <si>
    <t>INSUBLITEX</t>
  </si>
  <si>
    <t>https://insublitex.com.co/papeleria/42-papel-bifaz-por-10-metros.html#/81-calibre-calibre_10</t>
  </si>
  <si>
    <t>Papel de notas autoadhesivas</t>
  </si>
  <si>
    <t>Notas Adhesivas Removibles Colores 76x76 Mm. taco x 250 hojas</t>
  </si>
  <si>
    <t>Papel De Sublimacion Rosado</t>
  </si>
  <si>
    <t>Papel de sublimación profesional de alta calidad con tecnología alemana.
Permite sublimar sobre superficies textiles 100% de poliéster. El papel de sublimación es de acabado brillante y secado rápido, ideal para la Impresora con tinta de inyección, únicamente se utiliza con tintas de sublimación.
Tamaño Tabloide
Cantidad: 100 unidades
Dimensiones: 28cm x 43 cm
• Color: rosado
• Aplicaciones: Sublimacion
• Unidad De Empaque: 100
• Gramaje Del Papel: 125 Gramos
• Garantia: Garantia standard por defectos de fabrica.</t>
  </si>
  <si>
    <t>empaque x 100 hojas</t>
  </si>
  <si>
    <t>https://www.mercadolibre.com.co/papel-sublimacion-rosado-100-hojas-mejor-trasferenci-tam-a3/up/MCOU2429073547?pdp_filters=item_id:MCO583805812
https://insublitex.com.co/papel-para-sublimacion/44-papel-premium-rosado-para-sublimacion.html#/74-tamano-a3</t>
  </si>
  <si>
    <t>https://www.mercadolibre.com.co/papel-sublimacion-rosado-100-hojas-mejor-trasferenci-tam-a3/up/MCOU2429073547?pdp_filters=item_id:MCO583805812</t>
  </si>
  <si>
    <t>https://insublitex.com.co/papel-para-sublimacion/44-papel-premium-rosado-para-sublimacion.html#/74-tamano-a3</t>
  </si>
  <si>
    <t>Papel kraft</t>
  </si>
  <si>
    <t>Papel kraft de minimo 90g Rollo 48 pulgadas de ancho x minimo 210 metros de largo. Rollo x 210 mt de largo</t>
  </si>
  <si>
    <t xml:space="preserve">Precios obtenidos por consulta de históricos de contrato de materiales de formación 2024 y 2025, aumentando los IPC correspondientes para el año 2025 y 2026 </t>
  </si>
  <si>
    <t>"Gramaje: 60 g/m² (gramos por metro cuadrado). Es un papel con un equilibrio ideal entre flexibilidad y firmeza, fácil de manipular y doblar.
Ancho: 24 pulgadas (equivalente aproximadamente a 61 cm).
Peso total: 11 kg, lo que lo posiciona como un rollo de alto rendimiento para uso intensivo.
Longitud lineal: 301 metros, ofreciendo una cobertura extensa sin necesidad de cambios frecuentes de rollo.
Color: Marrón (café) natural."</t>
  </si>
  <si>
    <t>https://panafargo.com/producto/papel-kraft-rollo-en-todos-los-tamanos/?srsltid=AfmBOooVdywlJckM2WYghzZJnDqkEwb00UHw6b-70FyCSEKSU5teWfCy
https://www.papyser.com/tienda/producto/rollo-papel-kraft-60-g-24x11-kg-301-mt?srsltid=AfmBOorfoiq9T5TF903FVxdfZ0a_Uyt2qxhMk8Z_DY8_gYuZMcTND85a</t>
  </si>
  <si>
    <t>https://panafargo.com/producto/papel-kraft-rollo-en-todos-los-tamanos/?srsltid=AfmBOooVdywlJckM2WYghzZJnDqkEwb00UHw6b-70FyCSEKSU5teWfCy</t>
  </si>
  <si>
    <t>https://www.papyser.com/tienda/producto/rollo-papel-kraft-60-g-24x11-kg-301-mt?srsltid=AfmBOorfoiq9T5TF903FVxdfZ0a_Uyt2qxhMk8Z_DY8_gYuZMcTND85a</t>
  </si>
  <si>
    <t>PAPEL OPALINA</t>
  </si>
  <si>
    <t>PAPEL OPALINA DE 180 GMS ANCHO 60 CMS X 20 METROS</t>
  </si>
  <si>
    <t>ROLLO DE 60 CMS X 20 METROS</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</si>
  <si>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https://controlservicegroup.co/producto/rollo-de-papel-opalina/?srsltid=AfmBOopau6lyb0hv_bSIETnMZ5MdqdtA21RfTcykGy8ZSGxmhL0Ix8Z3</t>
  </si>
  <si>
    <t>CONTROL SERVICE</t>
  </si>
  <si>
    <t>https://controlservicegroup.co/producto/rollo-de-papel-opalina/?srsltid=AfmBOopau6lyb0hv_bSIETnMZ5MdqdtA21RfTcykGy8ZSGxmhL0Ix8Z3</t>
  </si>
  <si>
    <t>Papel Periódico</t>
  </si>
  <si>
    <t>Papel periódico de 65 gr/m2. Dimensiones: 70x100 cm. Pliego</t>
  </si>
  <si>
    <t>Papel Seda para manualidades</t>
  </si>
  <si>
    <t>Papel de seda, colores surtidos para manualidades (20 hojas de papel para regalo de 50cm x 50cm) por paquete. 20 unidades por paquete</t>
  </si>
  <si>
    <t>Pegante Colbon 225 Gr Universal</t>
  </si>
  <si>
    <t>Pegante liquido apta para superficies como papel, cartulina, cartón paja de 225 Gramos.</t>
  </si>
  <si>
    <t xml:space="preserve">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https://www.papyser.com/tienda/producto/pegante-liquido-papel-x-225-g-colbon-aplicador?srsltid=AfmBOoq1c5SRoT-OTmn2hdkzY0E_ijWj0daAx5GslUgs_VpSEitufMND</t>
  </si>
  <si>
    <t>https://www.papyser.com/tienda/producto/pegante-liquido-papel-x-225-g-colbon-aplicador?srsltid=AfmBOoq1c5SRoT-OTmn2hdkzY0E_ijWj0daAx5GslUgs_VpSEitufMND</t>
  </si>
  <si>
    <t>Pegante En Barra 20 Gr</t>
  </si>
  <si>
    <t>Pegamento sin disolventes e inodoro. Adherencia a la mayoría de materiales domésticos y de oficina típicos como el papel, cartón, cartulina, fieltro, tejido, corcho, cuero, espuma y fotos. Aplicación libre de grasa.</t>
  </si>
  <si>
    <t xml:space="preserve">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https://www.papyser.com/tienda/producto/pegante-barra-x-20-g-pega-stic-tesa?srsltid=AfmBOoow5bsoDwwPcudFeQx-Jix9MEFkWO5ILHxzS5eBoTIfLUITufe5</t>
  </si>
  <si>
    <t>https://www.papyser.com/tienda/producto/pegante-barra-x-20-g-pega-stic-tesa?srsltid=AfmBOoow5bsoDwwPcudFeQx-Jix9MEFkWO5ILHxzS5eBoTIfLUITufe5</t>
  </si>
  <si>
    <t>PILA AA Recargables</t>
  </si>
  <si>
    <t>PILAS AA RECARGABLES Especificaciones principales
•Tipo : Pila AA
•Sistema Electroquímico : Recargable
•Designación de la pila : Recargable</t>
  </si>
  <si>
    <t>PAQUETE X 6 unidades</t>
  </si>
  <si>
    <t xml:space="preserve">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https://www.exito.com/6-pilas-aa-recargables-2500mah-102436132-mp/p</t>
  </si>
  <si>
    <t>https://www.exito.com/6-pilas-aa-recargables-2500mah-102436132-mp/p</t>
  </si>
  <si>
    <t>PILA AAA</t>
  </si>
  <si>
    <t>https://www.mercadolibre.com.co/pila-bateria-aaa-alcalina-gp-ultra-pack-x4/p/MCO2069872804?matt_tool=19390127&amp;utm_source=google_shopping&amp;utm_medium=organic&amp;pdp_filters=item_id%3AMCO2691476432&amp;from=gshop
https://www.exito.com/bateria-pila-alkalina-aaa-x-4-unidades-panasonic-100042484-mp/p?idsku=100042484&amp;srsltid=AfmBOooHdK7wIV6O30gRwFGaHet9bRRNztbAuVjgZozDAUyteItw2xjWoQ4</t>
  </si>
  <si>
    <t>https://www.mercadolibre.com.co/pila-bateria-aaa-alcalina-gp-ultra-pack-x4/p/MCO2069872804?matt_tool=19390127&amp;utm_source=google_shopping&amp;utm_medium=organic&amp;pdp_filters=item_id%3AMCO2691476432&amp;from=gshop</t>
  </si>
  <si>
    <t>https://www.exito.com/bateria-pila-alkalina-aaa-x-4-unidades-panasonic-100042484-mp/p?idsku=100042484&amp;srsltid=AfmBOooHdK7wIV6O30gRwFGaHet9bRRNztbAuVjgZozDAUyteItw2xjWoQ4</t>
  </si>
  <si>
    <t>Pinceles diferentes tamaños plano</t>
  </si>
  <si>
    <t>Diferentes Tamaños Pinceles X12 Cerdas Finas - Pinceles Para Acuarela, Óleo y Acrílicos. Paquete x 12 unidades de diferentes calibres</t>
  </si>
  <si>
    <t xml:space="preserve">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https://www.mercadolibre.com.co/diferentes-tamanos-pinceles-x12-cerdas-finas-plano-o-redondo/up/MCOU2415249705</t>
  </si>
  <si>
    <t>https://www.mercadolibre.com.co/diferentes-tamanos-pinceles-x12-cerdas-finas-plano-o-redondo/up/MCOU2415249705</t>
  </si>
  <si>
    <t>Pinceles lengua de gato</t>
  </si>
  <si>
    <t>Ideal para manualidades
pincel, Tiene forma ovalada en la parte superior y aplanada
Utilizado para trazos concretos
Absorbe gran cantidad de pintura
desde #1 a #12. paquete x 6 unidades de diferentes calibres</t>
  </si>
  <si>
    <t xml:space="preserve">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https://www.mercadolibre.com.co/pincel-estuche-x-6-surtidos-lengua-de-gato/up/MCOU2409898672</t>
  </si>
  <si>
    <t>https://www.mercadolibre.com.co/pincel-estuche-x-6-surtidos-lengua-de-gato/up/MCOU2409898672</t>
  </si>
  <si>
    <t>Pinceles Script Liner</t>
  </si>
  <si>
    <t>Diseñados para artistas que buscan precisión y control en trazos finos y detallados. Fabricados con una combinación de cerdas sintéticas suaves y flexibles, estos pinceles ofrecen una aplicación uniforme y fluida, ideal para trabajos que requieren líneas largas, finas y continuas.
Con mango de madera y férula metálica resistente.
Presentaciones disponibles:
Tamaños 3/0, 0 y 1
Características principales:
Cerdas sintéticas combinadas para suavidad y flexibilidad óptimas.
Mango de madera barnizado para un agarre cómodo y duradero.
Ideal para trazos largos, líneas finas, detalles delicados y escritura artística (script).
Disponible en tamaños pequeños que permiten precisión en detalles minuciosos.</t>
  </si>
  <si>
    <t xml:space="preserve">https://www.mercadolibre.com.co/kit-pinceles-nylon-redondo-x3-0-00-000/up/MCOU2420283029?matt_tool=19390127&amp;utm_source=google_shopping&amp;utm_medium=organic&amp;pdp_filters=item_id%3AMCO2249878122&amp;from=gshop
</t>
  </si>
  <si>
    <t>https://www.mercadolibre.com.co/kit-pinceles-nylon-redondo-x3-0-00-000/up/MCOU2420283029?matt_tool=19390127&amp;utm_source=google_shopping&amp;utm_medium=organic&amp;pdp_filters=item_id%3AMCO2249878122&amp;from=gshop</t>
  </si>
  <si>
    <t>Pinceles Sintéticos X 12 Unidades Angulares Unicolor</t>
  </si>
  <si>
    <t>Set x 12 unidades de pinceles de cerda sintética sueve para acuarela, óleos y acrílicos con las siguientes dimensiones: 1 pincel angular #1, 1 pincel angular #2, 1 pincel angular #3, 1 pincel angular #4, 1 pincel angular #5, 1 Pincel angular #6, 1 pincel angular #7, 1 pincel angular #8, 1 Pincel angular #9, 1 pincel angular #10, 1 Pincel angular #11, 1 Pincel angular #12. SET X 12</t>
  </si>
  <si>
    <t xml:space="preserve">https://www.mercadolibre.com.co/kit-de-pinceles-angulares-unicolor-de-cerdas-sinteticas-y-con-12-unidades/p/MCO58206811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t>
  </si>
  <si>
    <t>https://www.mercadolibre.com.co/kit-de-pinceles-angulares-unicolor-de-cerdas-sinteticas-y-con-12-unidades/p/MCO58206811</t>
  </si>
  <si>
    <t>Pintura para Tela</t>
  </si>
  <si>
    <t>Está especialmente formulada para adherirse a fibras textiles sin alterar su textura natural. Su fórmula súper flexible, de excelente cubrimiento y resistente al lavado, permite personalizar prendas, bolsos, manteles y más, conservando la suavidad de la tela.
Ideal para técnicas de estampado, pintura libre o esténcil sobre textiles principalmente de algodón.
Modo de uso:
Limpia previamente la tela para eliminar polvo, grasa o aprestos que puedan afectar la adherencia.
Agita bien el envase antes de usar.
Aplica con pincel, esponja o esténcil sobre tela seca.
Secado: deja secar la prenda durante 72 horas a temperatura ambiente.
Fijación: plancha por el reverso a temperatura media (sin vapor) durante 3 a 5 minutos.
Presentacion: frasco por 30mL
unidad
Colores por referencia:
amarillo primario 006 (cantidad 10)
azul primario 028 (cantidad 10)
rojo primario 009 (cantidad 10)
negro 060 (cantidad 18)
Blanco 001 (cantidad 18)
Magenta 016 (cantidad 10)
Aguamarina 023(cantidad 10)
Verde limon 030 (cantidad 10)
turquesa 025 (cantidad 10)
Bronce metalizdo 059 (cantidad 10)
Plata metalizado 057 (cantidad 10)
Oro metalizado 065 (cantidad 10)</t>
  </si>
  <si>
    <t>https://todoenartes.com/products/pintura-para-tela-30-ml-azul-primario-franco-arte?variant=42414043103310&amp;country=CO&amp;currency=COP&amp;utm_medium=product_sync&amp;utm_source=google&amp;utm_content=sag_organic&amp;utm_campaign=sag_organic&amp;srsltid=AfmBOoqK8QIAD4Y5yllUWuenSY9FkfwpEnjNEJV4MWVEG4rcNbKE7EXR2XM
https://papeleriaeditorialzapata.com/producto/acriltela-franco-amarillo-primario-x30-cc/?srsltid=AfmBOopkeAq55-ywWF_yS-QKP96dj_ytP3_NSVBEPE4E6vyf1-30gD6PzzM</t>
  </si>
  <si>
    <t>https://todoenartes.com/products/pintura-para-tela-30-ml-azul-primario-franco-arte?variant=42414043103310&amp;country=CO&amp;currency=COP&amp;utm_medium=product_sync&amp;utm_source=google&amp;utm_content=sag_organic&amp;utm_campaign=sag_organic&amp;srsltid=AfmBOoqK8QIAD4Y5yllUWuenSY9FkfwpEnjNEJV4MWVEG4rcNbKE7EXR2XM</t>
  </si>
  <si>
    <t>PAPELERIA EDITORIAL ZAPATA</t>
  </si>
  <si>
    <t>https://papeleriaeditorialzapata.com/producto/acriltela-franco-amarillo-primario-x30-cc/?srsltid=AfmBOopkeAq55-ywWF_yS-QKP96dj_ytP3_NSVBEPE4E6vyf1-30gD6PzzM</t>
  </si>
  <si>
    <t>Pinturas Acrílicas</t>
  </si>
  <si>
    <t>kit de 6 Tubos de Acrilicos de Colores Contiene tubos de acrilicos de colores variados que se disuelven en el agua y son fáciles de mezclar. Se caracterizan por ser colores intensos y brillantes.Acrilicos altamente pigmentadas, con colores intensos.No tóxica, segura para uso en manualidades y decoración.
Resistencia a la abrasión para mayor durabilidad en superficies.
Usable sobre papel. Fácil de limpiar con agua.
Colores: amarillo, azul, rojo, negro, blanco y verde
Acabado: Mate.
Frasco de 60cc para fácil manejo y almacenamiento.</t>
  </si>
  <si>
    <t>Kit 6</t>
  </si>
  <si>
    <t>https://www.mercadolibre.com.co/kit-6-pinturas-acrilicas-franco-arte-60cc/p/MCO43843265
https://www.francoquimica.com/products/pintura-acrilica-acrylic-paint-pack-x-6-unids</t>
  </si>
  <si>
    <t>https://www.mercadolibre.com.co/kit-6-pinturas-acrilicas-franco-arte-60cc/p/MCO43843265</t>
  </si>
  <si>
    <t>FRANCO QUIMICA</t>
  </si>
  <si>
    <t>https://www.francoquimica.com/products/pintura-acrilica-acrylic-paint-pack-x-6-unids</t>
  </si>
  <si>
    <t>Pistolas para silicona caliente</t>
  </si>
  <si>
    <t>Pistola para enchufar y para usar con barras de silicona calientes.</t>
  </si>
  <si>
    <t>PORTA ESCARAPELAS</t>
  </si>
  <si>
    <t>Porta Documentos, bolsillos porta escarapelas elaborados en policloruro de vinilo (PVC) transparente
Tamaño:10,5cm x 16cm con CINTA PORTA-CARNET.</t>
  </si>
  <si>
    <t>60101400 </t>
  </si>
  <si>
    <t>Portacarnet o escarapelas </t>
  </si>
  <si>
    <t>Plástico vertical  . Paquete x10 
cuenta con cuatro micro-sujetadores que permiten mejor visibilidad de los documentos. Uso vertical </t>
  </si>
  <si>
    <t>Portaminas 0.7</t>
  </si>
  <si>
    <t>El Portaminas de 0.7mm es un instrumento de escritura de alta calidad que combina funcionalidad y estilo. su grosor de mina soportado de 7 mm proporciona una escritura suave y consistente, ideal para todo tipo de tareas.. caja X 12 piezas</t>
  </si>
  <si>
    <t>Cajas por x12</t>
  </si>
  <si>
    <t>Presentador de diapositivas apuntador</t>
  </si>
  <si>
    <t>Puntero con lasser para presentaciones de 2.4GHz con hasta 7 metros de distancia sin interferencias.
Receptor usb puede guardarse dentro del puntero.
Diseño sencillo, no es necesario aprender nada: solo apunte y comience.
Funciones de desplazamiento a través de página, ESC.
Elegante puntero multimedia de 2.4GHz.</t>
  </si>
  <si>
    <t xml:space="preserve">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https://www.exito.com/apuntador-pointer-presentador-diapositivas-laser-mac-pc-usb-102595780-mp/p</t>
  </si>
  <si>
    <t>https://www.exito.com/apuntador-pointer-presentador-diapositivas-laser-mac-pc-usb-102595780-mp/p</t>
  </si>
  <si>
    <t>Protector de polipropileno carta</t>
  </si>
  <si>
    <t>Protector de polipropileno tamaño carta
Características:
• Material: polipropileno
• Contenido: 100 unidades
• Múltiples perforaciones
• Bordes reforzados
• Medidas: 22 x 28 cm</t>
  </si>
  <si>
    <t>paquete x 100</t>
  </si>
  <si>
    <t>https://www.comercialpapelera.com.co/tienda/protector-de-hojas-carta-x100-und-p790637385?srsltid=AfmBOooxsk7PnnA01_nzuWllZWbllt2KCzMDWfTGcTMsNxKGkG8rNG1u
https://sskaizen.com/co/producto/protector-polipropileno-triton-carta-100-5367bo0002/?srsltid=AfmBOoq3OZOTSJ165bin9DjCrpsBnL1qOCWYmik6e5KsTeh1LYy1wyH17y0</t>
  </si>
  <si>
    <t>https://www.comercialpapelera.com.co/tienda/protector-de-hojas-carta-x100-und-p790637385?srsltid=AfmBOooxsk7PnnA01_nzuWllZWbllt2KCzMDWfTGcTMsNxKGkG8rNG1u</t>
  </si>
  <si>
    <t>SERVICIOS Y SUMINISTROS KAIZEN</t>
  </si>
  <si>
    <t>https://sskaizen.com/co/producto/protector-polipropileno-triton-carta-100-5367bo0002/?srsltid=AfmBOoq3OZOTSJ165bin9DjCrpsBnL1qOCWYmik6e5KsTeh1LYy1wyH17y0</t>
  </si>
  <si>
    <t>Regla Metálica 50 Cms</t>
  </si>
  <si>
    <t>Regla metálica Con dos medidas en centímetros y pulgadas. Lectura por ambas caras. Medidas: Largo 50 Cms, Ancho 3,5 Cms, Alto 3 mm Peso: 42 gr</t>
  </si>
  <si>
    <t>https://www.papyser.com/tienda/producto/regla-metalica-50-cm?srsltid=AfmBOornM9G2GAfUJSvKfhJqvBPC6T-nssDMV1guL2Q8qYBfoy3Wl8QB
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</si>
  <si>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https://www.papyser.com/tienda/producto/regla-metalica-50-cm?srsltid=AfmBOornM9G2GAfUJSvKfhJqvBPC6T-nssDMV1guL2Q8qYBfoy3Wl8QB</t>
  </si>
  <si>
    <t>Reglas Transparentes</t>
  </si>
  <si>
    <t>Regla plastica Plástica 814 X20cm
DATOS TECNICOS
-Regla 20cm
-Material acrílico transparente
-Muy resistente.</t>
  </si>
  <si>
    <t>PAPELERÍA MARIN</t>
  </si>
  <si>
    <t>https://www.papeleriamarin.com/escolares/72-regla-plastica-20-cms.html?srsltid=AfmBOopfJ1yCC3C9kJxaDtZHzEzS-gWGbjeebu6mZHBHVsa5pdIsLp0CSS4
https://www.grafitos.com.co/producto/regla-transparente-20cm-su-409r/</t>
  </si>
  <si>
    <t>https://www.papeleriamarin.com/escolares/72-regla-plastica-20-cms.html?srsltid=AfmBOopfJ1yCC3C9kJxaDtZHzEzS-gWGbjeebu6mZHBHVsa5pdIsLp0CSS4</t>
  </si>
  <si>
    <t>GRAFITOS</t>
  </si>
  <si>
    <t>https://www.grafitos.com.co/producto/regla-transparente-20cm-su-409r/</t>
  </si>
  <si>
    <t>REPUESTOS para cuadeno CUADRICULADOS</t>
  </si>
  <si>
    <t>HOJAS CUADRICULADA TAMAÑO OFICIO TIPO EXAMEN. . 80 hojas</t>
  </si>
  <si>
    <t>REPUESTROS DE BISTURI</t>
  </si>
  <si>
    <t>REPUESTO BISTURI GRANDE 10 unidades por estuche. Acero lubricado con antióxido. Cuchillas de alta resistencia.</t>
  </si>
  <si>
    <t>Paquete x 10</t>
  </si>
  <si>
    <t>https://www.grafitos.com.co/producto/repuesto-bisturi-grande/
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t>
  </si>
  <si>
    <t>https://www.grafitos.com.co/producto/repuesto-bisturi-grande/</t>
  </si>
  <si>
    <t>Resaltadores</t>
  </si>
  <si>
    <t>Rotulador de punta ancha y color muy vivo que se usa para resaltar una parte de un texto pasándolo por encima. Colores surtidos. Marcador resaltador desechable material plástico, colores verde, amarillo, fucsia, naranja y azul.". caja X 12 unidades</t>
  </si>
  <si>
    <t>Cajas por x 12</t>
  </si>
  <si>
    <t>RESALTADORES PASTEL CAJA X 10</t>
  </si>
  <si>
    <t>resaltador punta biselada tipo cincel que permite realizar trazos variables de aproximadamente 1 mm a 5 mm, tinta a base de agua, no tóxica (frecuentemente certificada ASTM D4236), lavable, de alta fluidez y secado rápido; colores suaves TONO PASTEL VARIADOS COLORES como amarillo, naranja, violeta, celeste, rosado, menta y coral, que no saturan la vista; su cuerpo es de plástico, a menudo con diseño ergonómico o tipo “tank” para mayor capacidad de tinta; muchos modelos incorporan tecnología anti-secado que permite dejarlos destapados durante horas sin que se sequen, y son aptos para usar en papel bond, fotocopias, libros, apuntes y cuadernos.</t>
  </si>
  <si>
    <t>PAQUETE POR 10 UNIDADES COLORES VARIOS</t>
  </si>
  <si>
    <t>PAPELERÍA EL MAYORISTA</t>
  </si>
  <si>
    <t>https://www.papeleriaelmayorista.com/producto/resaltador-flash-pastel-petalos-x-10-pelikan/
https://www.gotittas.com/productos/pqt-x-10-resaltador-pelikan-pastel/?srsltid=AfmBOoqfuEn0_tJ_qMmCjYNWsdfWl17irn4ciQb8foN3KJsUY9cAWOas</t>
  </si>
  <si>
    <t>https://www.papeleriaelmayorista.com/producto/resaltador-flash-pastel-petalos-x-10-pelikan/</t>
  </si>
  <si>
    <t>GOTITTAS</t>
  </si>
  <si>
    <t>https://www.gotittas.com/productos/pqt-x-10-resaltador-pelikan-pastel/?srsltid=AfmBOoqfuEn0_tJ_qMmCjYNWsdfWl17irn4ciQb8foN3KJsUY9cAWOas</t>
  </si>
  <si>
    <t>55121606 </t>
  </si>
  <si>
    <t>Rollo etiquetas adhesivas  </t>
  </si>
  <si>
    <t>100x80mm x1500 unidades . rollos </t>
  </si>
  <si>
    <t>Rotulo autoadhesivo morado</t>
  </si>
  <si>
    <t>Rotulo autoadhesivo morado-ROTULOS ADHESIVOS REDONDO  DE APLICACION MANUAL, IDEALES PARA MARCAR CAJAS, ARCHIVO, CARPETAS, MERCANCIAS, DENTRO DE LOS MULTIPLES USOS QUE LES PUEDES DAR</t>
  </si>
  <si>
    <t>paquete x 300</t>
  </si>
  <si>
    <t>OCCIDENTE PAPELERÍA</t>
  </si>
  <si>
    <t>https://occidentepapeleria.com/producto/rotulos-adhesivos-redondo-imprentar-ref-1631-morado-270-2/
https://todoenpapeleria.com.co/producto/rotulo-circulos-adhesivos-colores-x-420-unudades/ </t>
  </si>
  <si>
    <t>https://occidentepapeleria.com/producto/rotulos-adhesivos-redondo-imprentar-ref-1631-morado-270-2/</t>
  </si>
  <si>
    <t>TODO EN PAPELERÍA</t>
  </si>
  <si>
    <t>https://todoenpapeleria.com.co/producto/rotulo-circulos-adhesivos-colores-x-420-unudades/ </t>
  </si>
  <si>
    <t>Rotulo autoadhesivo rojo</t>
  </si>
  <si>
    <t>Rotulo autoadhesivo rojo-ROTULOS ADHESIVOS REDONDO  DE APLICACION MANUAL, IDEALES PARA MARCAR CAJAS, ARCHIVO, CARPETAS, MERCANCIAS, DENTRO DE LOS MULTIPLES USOS QUE LES PUEDES DAR</t>
  </si>
  <si>
    <t>https://www.panamericana.com.co/rotulo-multiuso-circular-color-rojo-de-13-mm/p
https://www.mercadolibre.com.co/rotulo-adhesivo-redondo-rojo-13-cm-x-308-pcs/up/MCOU2436328836#polycard_client=search-desktop&amp;search_layout=grid&amp;position=15&amp;type=product&amp;tracking_id=0627faa8-16ef-4699-9179-33c192009814&amp;wid=MCO863358965&amp;sid=search</t>
  </si>
  <si>
    <t>https://www.panamericana.com.co/rotulo-multiuso-circular-color-rojo-de-13-mm/p</t>
  </si>
  <si>
    <t>https://www.mercadolibre.com.co/rotulo-adhesivo-redondo-rojo-13-cm-x-308-pcs/up/MCOU2436328836#polycard_client=search-desktop&amp;search_layout=grid&amp;position=15&amp;type=product&amp;tracking_id=0627faa8-16ef-4699-9179-33c192009814&amp;wid=MCO863358965&amp;sid=search</t>
  </si>
  <si>
    <t>Rotulo autoadhesivo rosado</t>
  </si>
  <si>
    <t>Rotulo autoadhesivo rosado-ROTULOS ADHESIVOS REDONDO  DE APLICACION MANUAL, IDEALES PARA MARCAR CAJAS, ARCHIVO, CARPETAS, MERCANCIAS, DENTRO DE LOS MULTIPLES USOS QUE LES PUEDES DAR</t>
  </si>
  <si>
    <t>https://www.panamericana.com.co/rotulos-multiusos-circulos-de-color-rojo/p
https://todoenpapeleria.com.co/producto/rotulo-circulos-adhesivos-colores-x-420-unudades/</t>
  </si>
  <si>
    <t>https://www.panamericana.com.co/rotulos-multiusos-circulos-de-color-rojo/p</t>
  </si>
  <si>
    <t>https://todoenpapeleria.com.co/producto/rotulo-circulos-adhesivos-colores-x-420-unudades/</t>
  </si>
  <si>
    <t>Sacapuntas Doble Con DepositO</t>
  </si>
  <si>
    <t>Set x 3 unidades de sacapuntas manual. Material: Plástico/Meta, con 2 agujeros, con deposito con forma ovalada. SET 3 UNIDADES</t>
  </si>
  <si>
    <t>Set x 3 un</t>
  </si>
  <si>
    <t xml:space="preserve">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https://www.mercadolibre.com.co/sacapuntas-doble-con-deposito-x-3-unidades-tajalapiz/up/MCOU2434375010</t>
  </si>
  <si>
    <t>https://www.mercadolibre.com.co/sacapuntas-doble-con-deposito-x-3-unidades-tajalapiz/up/MCOU2434375010</t>
  </si>
  <si>
    <t>Silicona líquida 60 ml</t>
  </si>
  <si>
    <t>La silicona líquida de 60 gramos es un adhesivo y sellador versátil que se presenta en forma líquida y se solidifica al secarse. Se utiliza ampliamente en diversas aplicaciones debido a sus propiedades adhesivas y selladoras.</t>
  </si>
  <si>
    <t>Tabla legajadora oficio</t>
  </si>
  <si>
    <t>Tabla de apoyo elaborada en plástico lo que le brinda una mayor resistencia al quiebre, superficie lisa, plana y sin imperfecciones, con gancho metálico para la sujeción de los papeles.
Características:
Elaborado en poliestireno super alto impacto.
Capacidad 100 hojas.
Garantía de 5 años
Diseño liviano.
Fácil de llevar.
Con porta bolígrafos. Lámina
183 cm x 244 cm</t>
  </si>
  <si>
    <t>TAJALAPIZ ELECTRICO</t>
  </si>
  <si>
    <t>CARCASA PLASTICA, Medidas aproximadas: 7cm x 7cm x 8cm, FUNCIONA CON 2 PILAS AA</t>
  </si>
  <si>
    <t>https://www.falabella.com.co/falabella-co/product/122877973/Sacapuntas-tajalapiz-electrico-automatico-+-Pilas-AA/122877975
https://www.mercadolibre.com.co/sacapuntas-tajalapiz-electrico-automatico/up/MCOU2436154474</t>
  </si>
  <si>
    <t>https://www.falabella.com.co/falabella-co/product/122877973/Sacapuntas-tajalapiz-electrico-automatico-+-Pilas-AA/122877975</t>
  </si>
  <si>
    <t>https://www.mercadolibre.com.co/sacapuntas-tajalapiz-electrico-automatico/up/MCOU2436154474</t>
  </si>
  <si>
    <t>Tarjeta de índice</t>
  </si>
  <si>
    <t>Fichas bibliográficas por paquete. paquete X 50 unidades</t>
  </si>
  <si>
    <t>Tarjeta PVC para Carnets</t>
  </si>
  <si>
    <t>Tarjeta PVC Calibre 30 Paquete X 100 Unidades</t>
  </si>
  <si>
    <t>Paquete x 100</t>
  </si>
  <si>
    <t>MARCA IDEA</t>
  </si>
  <si>
    <t>Tarjetas PVC CR80 Americana 30 Mil BLANCA x 100 Und: - marcaIDea
https://tiendafla.com/producto/13/tarjetas-pvc-calibre-30-usa</t>
  </si>
  <si>
    <t>Tarjetas PVC CR80 Americana 30 Mil BLANCA x 100 Und: - marcaIDea</t>
  </si>
  <si>
    <t>SPIRAL GRUPO FLA</t>
  </si>
  <si>
    <t>https://tiendafla.com/producto/13/tarjetas-pvc-calibre-30-usa</t>
  </si>
  <si>
    <t>Tijeras de uso general</t>
  </si>
  <si>
    <t>Tijeras para oficina de gran calidad, fabricadas en acero inoxidable
Descripción: Asas ergonómicas, Afilado especial para un desempeño confiable aún con papeles más gruesos; como el cartón. Ideal para la casa y la oficina. Tamaños: 21 cm / 8 ".</t>
  </si>
  <si>
    <t>Tinta Homologada HP Base de Agua</t>
  </si>
  <si>
    <t>Producto: Tinta Homologada HP a Base de Agua (Dye)
Presentación: Bidones de 5000 ml
Colores requeridos: Cian (C), Magenta (M), Amarillo (Y)
Uso previsto: Equipos de impresión HP compatibles que trabajen con tecnología de inyección térmica y tintas base agua.</t>
  </si>
  <si>
    <t>BDN x 5000 ml</t>
  </si>
  <si>
    <t>TECNIRECARGAS</t>
  </si>
  <si>
    <t>https://tecnirecargas.com/producto/tinta-litro-para-impresoras-hp-con-sistema-o-para-recarga/
https://www.baroncolombia.com/producto/tinta-hp-plotter-1000ml-magenta/?srsltid=AfmBOoq6jvgzkM_oVOSwT6XEHbpQAqLWlw6ulbEmHUWI0R_bP8kvIqqUYd0</t>
  </si>
  <si>
    <t>https://tecnirecargas.com/producto/tinta-litro-para-impresoras-hp-con-sistema-o-para-recarga/</t>
  </si>
  <si>
    <t>BARON COLOMBIA</t>
  </si>
  <si>
    <t>https://www.baroncolombia.com/producto/tinta-hp-plotter-1000ml-magenta/?srsltid=AfmBOoq6jvgzkM_oVOSwT6XEHbpQAqLWlw6ulbEmHUWI0R_bP8kvIqqUYd0</t>
  </si>
  <si>
    <t>Producto: Tinta Homologada HP a Base de Agua – Negro (Black)
Presentación: Envase de 1000 ml
Compatibilidad: Equipos de impresión HP que utilicen tecnología de inyección térmica con tintas base agua.</t>
  </si>
  <si>
    <t>BDN x 1000 ml</t>
  </si>
  <si>
    <t>https://tecnirecargas.com/producto/tinta-litro-para-impresoras-hp-con-sistema-o-para-recarga/
https://www.baroncolombia.com/producto/tinta-hp-plotter-1000ml-black/?srsltid=AfmBOoqP0CL6VwwDqna_-cGNNdy99ZoCnN3Nn_HK1-rS-SO7GJ-E2sAVseo</t>
  </si>
  <si>
    <t>https://www.baroncolombia.com/producto/tinta-hp-plotter-1000ml-black/?srsltid=AfmBOoqP0CL6VwwDqna_-cGNNdy99ZoCnN3Nn_HK1-rS-SO7GJ-E2sAVseo</t>
  </si>
  <si>
    <t>Tiza en lapiz</t>
  </si>
  <si>
    <t>Lápiz para marcar o trazar, usos varios en artesanías y molderia.
-Color :Blanco
-Tamaño: 17cm de largo
-cantidad: 12 unds
Uso: el lápiz puede ayudar a marcar sobre los patrones de tela, papel, madera, plástico, tela y borrador. Ideal para Sastre profesional y sastrería casera.
Hechos de materiales respetuosos con el medio ambiente, los lápices de rotuladores a medida son seguros, libres de tiza y no tóxicos.
Bolígrafo borrable Invisible para confección artesanal a medida para satisfacer sus necesidades en la máxima medida.
Caja x 12 unidades
Formato de la tiza: Cilíndrico</t>
  </si>
  <si>
    <t>https://www.mercadolibre.com.co/tiza-en-lapiz-colores-x12-unidades-modisteria-marcar-tela/up/MCOU2437952374?pdp_filters=item_id:MCO942235323
https://www.lamina.com.co/products/tiza-lapiz-facil-tajado</t>
  </si>
  <si>
    <t>https://www.mercadolibre.com.co/tiza-en-lapiz-colores-x12-unidades-modisteria-marcar-tela/up/MCOU2437952374?pdp_filters=item_id:MCO942235323</t>
  </si>
  <si>
    <t>LA MINA</t>
  </si>
  <si>
    <t>https://www.lamina.com.co/products/tiza-lapiz-facil-tajado</t>
  </si>
  <si>
    <t>VINILO ADHESIVO</t>
  </si>
  <si>
    <t>VINILO ADHESIVO PARA VIDRIO QUE BIRNDA PRIVACIDAD A TUS ESPACIOS Aplica agua y unas gotas de jabón liquido utilizando un spray.</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</si>
  <si>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https://www.falabella.com.co/falabella-co/product/136133309/Pelicula-Vidrio-Ventanas-75cm-x-5mts-Privacidad-Vinilo-sticker/136133310</t>
  </si>
  <si>
    <t>FALABELA</t>
  </si>
  <si>
    <t>https://www.falabella.com.co/falabella-co/product/136133309/Pelicula-Vidrio-Ventanas-75cm-x-5mts-Privacidad-Vinilo-sticker/136133310</t>
  </si>
  <si>
    <t>Vinilo Textil Reflectivo</t>
  </si>
  <si>
    <t>Vinilo Textil Reflectivo Termo-transferible excelente calidad y economía, tira de un metro por 61 centímetros de ancho más grande que la medida estándar</t>
  </si>
  <si>
    <t>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https://www.mercadolibre.com.co/vinilo-reflectivo-blanco-de-61-cm-x-1-metro/up/MCOU2403451003?matt_tool=19390127&amp;utm_source=google_shopping&amp;utm_medium=organic&amp;pdp_filters=item_id%3AMCO1341743760&amp;from=gshop</t>
  </si>
  <si>
    <t>https://www.mercadolibre.com.co/vinilo-reflectivo-blanco-de-61-cm-x-1-metro/up/MCOU2403451003?matt_tool=19390127&amp;utm_source=google_shopping&amp;utm_medium=organic&amp;pdp_filters=item_id%3AMCO1341743760&amp;from=gshop</t>
  </si>
  <si>
    <t>Vinipel Industrial transparente 500 mtrs x 30 cm ancho</t>
  </si>
  <si>
    <t>Medidas: 30 cm alto x 500 m largo. Tamaño: Rollo. Tipo: Vinipel. Color: Transparente. Grosor: Grueso transparente. Usos: Embalaje de cajas, mercancía, productos, estira sin problema, industrial.. ROLLO</t>
  </si>
  <si>
    <t xml:space="preserve">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https://ductosyventilacion.com/tienda/vinipel-para-embalaje/vinipel-transparente-embalaje-500m-x-30cm/?srsltid=AfmBOoqyl7tnryPg5vI-iMphn5FDbKdvXXW9qYe4W8McAnrURZeJlslG</t>
  </si>
  <si>
    <t>DUCTOS Y VENTILACIÓN</t>
  </si>
  <si>
    <t>https://ductosyventilacion.com/tienda/vinipel-para-embalaje/vinipel-transparente-embalaje-500m-x-30cm/?srsltid=AfmBOoqyl7tnryPg5vI-iMphn5FDbKdvXXW9qYe4W8McAnrURZeJlslG</t>
  </si>
  <si>
    <t>yoyo porta carnet</t>
  </si>
  <si>
    <t>Yoyo para portar carnets o identificaciones con facilidad y seguridad.
Disponible en varios colores: amarillo, azul oscuro, azul rey, blanco, gris, naranja, negro, rojo, verde.
Clip retráctil con botón de bloqueo para mayor seguridad.
Cordón resistente y duradero para uso diario.</t>
  </si>
  <si>
    <t xml:space="preserve"> Historico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https://www.papyser.com/tienda/producto/yoyo-para-escarapela-redondo-negro?gad_source=1&amp;gad_campaignid=18902749154&amp;gbraid=0AAAAACTR7EqeDBhhnJxhNyMswg3RxP2q8&amp;gclid=CjwKCAjwspPOBhB9EiwATFbi5JWkNadQPN7ad_-l-9w_TBOAhFcvHIQzVd9LtTnG-XOCiB-TFuBEfhoCdbgQAvD_BwE</t>
  </si>
  <si>
    <t>https://www.papyser.com/tienda/producto/yoyo-para-escarapela-redondo-negro?gad_source=1&amp;gad_campaignid=18902749154&amp;gbraid=0AAAAACTR7EqeDBhhnJxhNyMswg3RxP2q8&amp;gclid=CjwKCAjwspPOBhB9EiwATFbi5JWkNadQPN7ad_-l-9w_TBOAhFcvHIQzVd9LtTnG-XOCiB-TFuBEfhoCdbgQAvD_BwE</t>
  </si>
  <si>
    <t>Mouse Usb Optico</t>
  </si>
  <si>
    <t>Ratón óptico USB con cable para PC portátil ordenador scroll led rojo mejor R1O6</t>
  </si>
  <si>
    <t>JD MARKET</t>
  </si>
  <si>
    <t>https://www.jd-market.com/products/mouse-optico-usb-luz-led-roja?variant=46808669585646&amp;country=CO&amp;currency=COP&amp;utm_medium=product_sync&amp;utm_source=google&amp;utm_content=sag_organic&amp;utm_campaign=sag_organic&amp;srsltid=AfmBOopzOl17RXAtQ64NV_Og7AAfsOyicTyxah1UXXYjmc4iabi-BJ78IHc
https://www.exito.com/mouse-usb-optico-iluminado-raton-economico-para-computador-610249819-102363641-mp/p?idsku=102363641&amp;srsltid=AfmBOooDzq0jRuU8WWbWdC-kHmZt2OKt1SU46pQvsH1UhGRhMH4KgN_QQkw</t>
  </si>
  <si>
    <t>https://www.jd-market.com/products/mouse-optico-usb-luz-led-roja?variant=46808669585646&amp;country=CO&amp;currency=COP&amp;utm_medium=product_sync&amp;utm_source=google&amp;utm_content=sag_organic&amp;utm_campaign=sag_organic&amp;srsltid=AfmBOopzOl17RXAtQ64NV_Og7AAfsOyicTyxah1UXXYjmc4iabi-BJ78IHc</t>
  </si>
  <si>
    <t>https://www.exito.com/mouse-usb-optico-iluminado-raton-economico-para-computador-610249819-102363641-mp/p?idsku=102363641&amp;srsltid=AfmBOooDzq0jRuU8WWbWdC-kHmZt2OKt1SU46pQvsH1UhGRhMH4KgN_QQkw</t>
  </si>
  <si>
    <t>Regleta Eléctrica Multitoma 6 Puestos 3m con Interruptor</t>
  </si>
  <si>
    <t>Regleta eléctrica Multitoma de 6 puestos con cable de 3 metros y switch de encendido/apagado. Fabricada en PVC de alta resistencia, soporta hasta 125V y 1650W. Ideal para oficina, hogar y equipos de cómputo, permitiendo conectar múltiples dispositivos de forma segura.</t>
  </si>
  <si>
    <t>https://www.mercadolibre.com.co/multitoma-regleta-electrica-6-salidas-3m-proteccion-sobrecarga-titanium/p/MCO30463814?pdp_filters=item_id:MCO2181256042#is_advertising=true&amp;searchVariation=MCO30463814&amp;backend_model=search-backend&amp;position=1&amp;search_layout=grid&amp;type=pad&amp;tracking_id=0297fbb4-4c0b-4e8f-8441-70906014509b&amp;ad_domain=VQCATCORE_LST&amp;ad_position=1&amp;ad_click_id=Nzg4Zjg2MTMtNWRhZi00YTlkLThlNDgtZGE5ZDM3OGJiNmZk
https://www.luminaplus.com.co/shop/eca35-multitoma-6-salidas-3m-cable-con-proteccion-tipo-techman-2507</t>
  </si>
  <si>
    <t>https://www.mercadolibre.com.co/multitoma-regleta-electrica-6-salidas-3m-proteccion-sobrecarga-titanium/p/MCO30463814?pdp_filters=item_id:MCO2181256042#is_advertising=true&amp;searchVariation=MCO30463814&amp;backend_model=search-backend&amp;position=1&amp;search_layout=grid&amp;type=pad&amp;tracking_id=0297fbb4-4c0b-4e8f-8441-70906014509b&amp;ad_domain=VQCATCORE_LST&amp;ad_position=1&amp;ad_click_id=Nzg4Zjg2MTMtNWRhZi00YTlkLThlNDgtZGE5ZDM3OGJiNmZk</t>
  </si>
  <si>
    <t>LUMINA PLUS</t>
  </si>
  <si>
    <t>https://www.luminaplus.com.co/shop/eca35-multitoma-6-salidas-3m-cable-con-proteccion-tipo-techman-2507</t>
  </si>
  <si>
    <t>Lienza 20 metros</t>
  </si>
  <si>
    <t>Lienza Cinta Metrica Fibra Vidrio 20 Mts</t>
  </si>
  <si>
    <t>CASA FERRETERA</t>
  </si>
  <si>
    <t>https://www.casaferretera.com/lienza_f-vidrio-uyustools-t-tech-20mtshuv020/p?srsltid=AfmBOorpYJdbpnyAbkdwmgp2uRuKAClONH2CZoakncUYuxjH3NecHDSnn2M
https://electroservimos.co/equipos-y-herramientas/4299-c20f-cinta-metrica-lienza-fibra-de-vidrio-20-mts-forte.html</t>
  </si>
  <si>
    <t>https://www.casaferretera.com/lienza_f-vidrio-uyustools-t-tech-20mtshuv020/p?srsltid=AfmBOorpYJdbpnyAbkdwmgp2uRuKAClONH2CZoakncUYuxjH3NecHDSnn2M</t>
  </si>
  <si>
    <t>ELECTROSERVIMOS</t>
  </si>
  <si>
    <t>https://electroservimos.co/equipos-y-herramientas/4299-c20f-cinta-metrica-lienza-fibra-de-vidrio-20-mts-forte.html</t>
  </si>
  <si>
    <t xml:space="preserve">Cronometro digital </t>
  </si>
  <si>
    <t>Cronómetro Digital Profesional De Mano
Características principales:
1. Deportivos profesionales Cronógrafo Digital temporizador muestra hora, minuto, en segundo lugar, AM/PM indicador, mes, y día de la semana.
2. 1/100 segundos hasta 23 horas, 59 minutos, 59 segundos.
3. Con Alarma</t>
  </si>
  <si>
    <t>https://www.exito.com/cronometro-digital-resistente-al-agua-deportes-cocina-correa-101970063-mp/p
https://www.falabella.com.co/falabella-co/product/124079730/Cronometro-Digital-Resistente-Al-Agua-Deportes-Cocina-Correa/124079731</t>
  </si>
  <si>
    <t>https://www.exito.com/cronometro-digital-resistente-al-agua-deportes-cocina-correa-101970063-mp/p</t>
  </si>
  <si>
    <t>https://www.falabella.com.co/falabella-co/product/124079730/Cronometro-Digital-Resistente-Al-Agua-Deportes-Cocina-Correa/124079731</t>
  </si>
  <si>
    <t>Pila Plana LR-44</t>
  </si>
  <si>
    <t>PILA PLANA ALCALINA LR-44 GP A76/ AG13 1.5V
carton por 10 pilas</t>
  </si>
  <si>
    <t>Paquete x10</t>
  </si>
  <si>
    <t>https://www.exito.com/carton-x-10-pilas-baterias-ag13-lr44357sr44wsr1154w-100011586-mp/p?idsku=100011586&amp;srsltid=AfmBOor5Fsu7AvNGBuQG8P79U0knuQx7gQJMYw0KLmrZJsIlSgzeMPpr2eY
https://www.mercadolibre.com.co/pilas-a76-lr44-ag13-gp-alcalina-x10-unidades-boton-15v/up/MCOU2414244733?matt_tool=19390127&amp;utm_source=google_shopping&amp;utm_medium=organic&amp;pdp_filters=item_id%3AMCO1508074176&amp;from=gshop</t>
  </si>
  <si>
    <t>https://www.exito.com/carton-x-10-pilas-baterias-ag13-lr44357sr44wsr1154w-100011586-mp/p?idsku=100011586&amp;srsltid=AfmBOor5Fsu7AvNGBuQG8P79U0knuQx7gQJMYw0KLmrZJsIlSgzeMPpr2eY</t>
  </si>
  <si>
    <t>https://www.mercadolibre.com.co/pilas-a76-lr44-ag13-gp-alcalina-x10-unidades-boton-15v/up/MCOU2414244733?matt_tool=19390127&amp;utm_source=google_shopping&amp;utm_medium=organic&amp;pdp_filters=item_id%3AMCO1508074176&amp;from=gshop</t>
  </si>
  <si>
    <t>Botella Botilito Ecovidrio</t>
  </si>
  <si>
    <t>Botilito en vidrio con recubrimiento en plástico Biodegradable a base de trigo, capacidad 8oz.
Medidas: Capacidad: 8 oz (225 ml) Diametro: 6.2 cm Alto: 20 cm
Material: Trigo, Vidrio y Plástico Biodegradable.</t>
  </si>
  <si>
    <t>COMPRANET</t>
  </si>
  <si>
    <t>https://compranet.com.co/producto/botella-botilito-ecovidrio-225-ml/
https://www.fleamarket.com.co/producto/botilito-ecovidrio-1-2/</t>
  </si>
  <si>
    <t>https://compranet.com.co/producto/botella-botilito-ecovidrio-225-ml/</t>
  </si>
  <si>
    <t>FLEA MARKET</t>
  </si>
  <si>
    <t>https://www.fleamarket.com.co/producto/botilito-ecovidrio-1-2/</t>
  </si>
  <si>
    <t>Año 2025</t>
  </si>
  <si>
    <t>Vinagre blanco</t>
  </si>
  <si>
    <t>Vinagre blanco x 3000 ml</t>
  </si>
  <si>
    <t>Pilas doble AA</t>
  </si>
  <si>
    <t>Voltaje 1,5 V
Capacidad de 1700 a 3000 mAh</t>
  </si>
  <si>
    <t>NA</t>
  </si>
  <si>
    <t xml:space="preserve">Se establece promedio cotización 1,2, 3 y el historico. </t>
  </si>
  <si>
    <t>Historico 2025 + 5,1% IPC</t>
  </si>
  <si>
    <t>Pilas Triple AAA</t>
  </si>
  <si>
    <t>Voltaje 1,5 V
Alcalina</t>
  </si>
  <si>
    <t xml:space="preserve">Removedor de óxido </t>
  </si>
  <si>
    <t>Removedor de óxido 
Producto 100% soluble en agua y biodegradable. 
Uso Industrial.
No daña partes plásticas, pintadas o cables.</t>
  </si>
  <si>
    <t>Pila boton CR2032</t>
  </si>
  <si>
    <t>PILA CR2032 BOTON DE LITIO 3 Voltios
Altura 3,2 mm
Diametro 20 mm
Amperios min. 240 mAh</t>
  </si>
  <si>
    <t>Papel aluminio laminado</t>
  </si>
  <si>
    <t>Aluminio rollo 76,2 cm x 300 metros. 
Papel aluminio espesor menor a 0,5 mm</t>
  </si>
  <si>
    <t>Escalera de tijera más o menos de 1mt con 50 cm</t>
  </si>
  <si>
    <t xml:space="preserve">Pilas 9 Voltios Alcalina </t>
  </si>
  <si>
    <t>Pilas 9 Voltios Alcalina 
Cuadrada
Alcalina - 4LR25X y/o 9V</t>
  </si>
  <si>
    <t>Pila boton 386 CR43W</t>
  </si>
  <si>
    <t>Pila Referencia SR43W V386 D386 260 H
Voltaje 1,5 Voltios
Litio
Diámetro x Alto 11,6 x 4,2 mm
Peso 1,7 grs</t>
  </si>
  <si>
    <t>Pila Batería Boton Ag - Lr1130</t>
  </si>
  <si>
    <t>Pila Batería Boton Ag - Lr1130
11,6 mm de diámetro por 3,1 mm de alto.
Voltaje 1,5 Voltios
Alcalina
44mAh</t>
  </si>
  <si>
    <t>Candado</t>
  </si>
  <si>
    <t>Candado mecanico tipo cerradura 50 mm, que incluya como mínimo 3 llaves.
Color: Negro
Material: Hierro Latón</t>
  </si>
  <si>
    <t>Norma ISO 1012 de 2026</t>
  </si>
  <si>
    <t>Nombre del documento normativo: Quality management — Requirements for measurement management systems
Codigo: ISO 1012
Fecha de vigencia: 2026
Entidad de normalización: Organización internacional de normalización ISO.
Formato requerido: PDF - Idioma Ingles</t>
  </si>
  <si>
    <t>Norma ISO 22568-1 de 2019 AMD 1 2025</t>
  </si>
  <si>
    <t>Nombre del documento normativo: Foot and leg protectors — Requirements and test methods for footwear components — Part 1: Metallic toecaps Amendment 1
Codigo: ISO 22568-1 
Fecha de vigencia: 2025
Entidad de normalización: Organización internacional de normalización ISO.
Formato requerido: PDF - Idioma Ingles</t>
  </si>
  <si>
    <t>Norma ISO 22568-2 de 2019 AMD 1 2025</t>
  </si>
  <si>
    <t>Nombre del documento normativo: Foot and leg protectors — Requirements and test methods for footwear components — Part 2: Non-metallic toecaps Amendment 1
Codigo:  ISO 22568-2
Fecha de vigencia: 2025
Entidad de normalización: Organización internacional de normalización ISO.
Formato requerido: PDF - Idioma Ingles</t>
  </si>
  <si>
    <t>Norma UNE-EN ISO 2419 de 2025</t>
  </si>
  <si>
    <t>Nombre del documento normativo: Cuero. Ensayos físicos y mecánicos. Acondicionamiento de elementos de muestra y probetas. (ISO 2419:2024)
Codigo:  UNE-EN ISO 2419
Fecha de vigencia: 2025
Entidad de normalización: Organización internacional de normalización AENOR
Formato requerido: PDF - Idioma Español</t>
  </si>
  <si>
    <t>Norma UNE-EN ISO 2418 de 2023</t>
  </si>
  <si>
    <t>Nombre del documento normativo: Cuero. Ensayos químicos, físicos, mecánicos y de solidez. Localización y preparación de muestras para los ensayos. (ISO 2418:2023).
Codigo:  UNE-EN ISO 2418
Fecha de vigencia: 2023
Entidad de normalización: Organización internacional de normalización AENOR
Formato requerido: PDF - Idioma Español</t>
  </si>
  <si>
    <t>Brocas</t>
  </si>
  <si>
    <t xml:space="preserve">JUEGO DE BROCAS 18 PZS PARA. MADERA, MURO Y METAL D59178
Incluye brocas para taladrar en materiales de metal, madera y mamposte.
Entrada recta para la mayoría de los taladros inalámbricos y con cable de 3/8" y 1/2" 
Material: HSS-G
Punto de separación de 135° para inicios rápidos y caminado reducido. </t>
  </si>
  <si>
    <t>Toalla de papel de bambú</t>
  </si>
  <si>
    <t>Toalla de papel de bambú reutilizable,
70% viscosa derivada de fibra de bambu y 30% algodon
Ecológico, lavable a máquina, fuerte y absorbente. 
28 cm de ancho cada hoja y 42 cm de longitud. Rollo de 20 hojas
Presentación: Rollo</t>
  </si>
  <si>
    <t>Plotter profesional 720mm (28"). Lector óptico, presión 500g, pedestal y software de corte</t>
  </si>
  <si>
    <t>AMI SOLUCIONES INTEGRALES</t>
  </si>
  <si>
    <t>Promedio</t>
  </si>
  <si>
    <t>ALVAMART</t>
  </si>
  <si>
    <t>Especificaciones técnicas
Tipo: Escáner cenital / aéreo (overhead scanner)
Formato máximo de captura: A3 (420 × 297 mm)
Sensor de imagen: CMOS
Resolución del sensor: 16 a 18 megapíxeles
Resolución efectiva: hasta 300–400 DPI en A3
Iluminación:
Iluminación LED integrada de alta intensidad
Control automático de brillo
Velocidad de escaneo:
Aproximadamente 1–1,5 segundos por página
Funciones inteligentes:
Corrección automática de curvatura de páginas
Eliminación de sombras y dedos
Enderezado automático (deskew)
Detección automática de página
Software incluido:
Software propietario de digitalización
OCR multilenguaje (más de 100 idiomas)
Exportación a PDF, PDF buscable, Word, JPG, TIFF
Accesorios incluidos:
Pedal de captura (foot pedal)
Alfombrilla base antirreflejo</t>
  </si>
  <si>
    <t>Contenedor Con Ruedas Plástica 360L NegroCon Tapa
Contenedores con Ruedas de Rubbermaid</t>
  </si>
  <si>
    <t>ATOM GROUP</t>
  </si>
  <si>
    <t>TOTAL</t>
  </si>
  <si>
    <r>
      <t xml:space="preserve">Unidad de medida </t>
    </r>
    <r>
      <rPr>
        <b/>
        <i/>
        <sz val="11"/>
        <color rgb="FFFF0000"/>
        <rFont val="Calibri"/>
        <family val="2"/>
      </rPr>
      <t>Escoger Lista</t>
    </r>
  </si>
  <si>
    <r>
      <t xml:space="preserve">Presentación
</t>
    </r>
    <r>
      <rPr>
        <b/>
        <sz val="11"/>
        <color rgb="FFFF0000"/>
        <rFont val="Calibri"/>
        <family val="2"/>
      </rPr>
      <t>Escoger Lista</t>
    </r>
  </si>
  <si>
    <t>Cantidad</t>
  </si>
  <si>
    <r>
      <t>Valor Unitario</t>
    </r>
    <r>
      <rPr>
        <b/>
        <sz val="11"/>
        <color rgb="FFFF0000"/>
        <rFont val="Calibri"/>
        <family val="2"/>
      </rPr>
      <t xml:space="preserve"> sin</t>
    </r>
    <r>
      <rPr>
        <b/>
        <sz val="11"/>
        <color rgb="FF000000"/>
        <rFont val="Calibri"/>
        <family val="2"/>
      </rPr>
      <t xml:space="preserve"> IVA </t>
    </r>
  </si>
  <si>
    <r>
      <t xml:space="preserve">Valor Unitario </t>
    </r>
    <r>
      <rPr>
        <b/>
        <sz val="11"/>
        <color rgb="FFFF0000"/>
        <rFont val="Calibri"/>
        <family val="2"/>
      </rPr>
      <t>con</t>
    </r>
    <r>
      <rPr>
        <b/>
        <sz val="11"/>
        <rFont val="Calibri"/>
        <family val="2"/>
      </rPr>
      <t xml:space="preserve"> IVA </t>
    </r>
  </si>
  <si>
    <t>Valor Unitario Promedio con IVA</t>
  </si>
  <si>
    <r>
      <t xml:space="preserve">Valor Total </t>
    </r>
    <r>
      <rPr>
        <b/>
        <sz val="11"/>
        <color rgb="FFFF0000"/>
        <rFont val="Calibri"/>
        <family val="2"/>
      </rPr>
      <t>con</t>
    </r>
    <r>
      <rPr>
        <b/>
        <sz val="11"/>
        <color rgb="FF000000"/>
        <rFont val="Calibri"/>
        <family val="2"/>
      </rPr>
      <t xml:space="preserve"> IVA</t>
    </r>
  </si>
  <si>
    <t>Valor de Envío</t>
  </si>
  <si>
    <t>Valor Total</t>
  </si>
  <si>
    <t>Valor Promedio Total</t>
  </si>
  <si>
    <t>Valor
Individual</t>
  </si>
  <si>
    <t>Conclusiones Análisis del Precio</t>
  </si>
  <si>
    <t>Tarjeta Programable</t>
  </si>
  <si>
    <t>Seeed studio NVIDIA Jetson Orin NX 16GB Edge AI Device - reComputer J4012, 4xUSB 3.2, ranura M.2 Key E y Key M, sistema Jetpack preinstalado con Jetpack de NVIDIA en SSD NVMe de 128GB.</t>
  </si>
  <si>
    <t>Se toma como referencia el valor promedio</t>
  </si>
  <si>
    <t>Mouser Electronics</t>
  </si>
  <si>
    <t>Cargador</t>
  </si>
  <si>
    <t>Adaptador y cable de alimentación DC 19V para Jetson Orin NX/Orin Nano.</t>
  </si>
  <si>
    <t>AliExpress</t>
  </si>
  <si>
    <t>Tarjeta WiFi - Bluetooth</t>
  </si>
  <si>
    <t>Wireless-AC8265 Dual Mode AC8265 Módulo NIC inalámbrico para Jetson Nano Developer Kit M.2 NGFF Soporte 2.4GHz / 5GHz 300Mbps / 867Mbps Dual Band WiFi y Bluetooth 4.2.</t>
  </si>
  <si>
    <t>Memoria</t>
  </si>
  <si>
    <t>Crucial P310 SSD de 1 TB, PCIe Gen4 NVMe M.2 2280, hasta 7,100 MB/s.</t>
  </si>
  <si>
    <t>Placa de desarrollo ESP 32 Lo Ra V3 + batería de 1100 mAh + Funda de Protección OLED con Tipo C e Interfaz de Antena con antena de 915 MHz de Tubo de Cobre (Versión N30, Negro),  y dispositivos SX 1262 Lo Ra V3 para Mesh Tastic Ar duino Lo Rawan.</t>
  </si>
  <si>
    <t>Placa de desarrollo WiFi LoRa 32 V4 con chip ESP32 SX1262 de alta potencia 27dBm ESP32 SX1262 pantalla OLED de 0.96 pulgadas compatible con Meshtastic y LoRaWAN Soporte de comunicación</t>
  </si>
  <si>
    <t>Sensor</t>
  </si>
  <si>
    <t>Sensor de presión barométrica BMP390, alta precisión, sensor de altímetro, interfaz I2C y SPI, con cable conector I2C, para Arduino/ESP32.</t>
  </si>
  <si>
    <t>Sensor Gravity LTR390-UV proporciona detección de luz ambiental (450 nm – 700 nm) y luz UV (280 nm – 430 nm), posee interfaz I2C y UART configurable mediante el interruptor DIP.</t>
  </si>
  <si>
    <t>Unidad USB</t>
  </si>
  <si>
    <t>Unidad flash de estado sólido USB 3.2 Extreme PRO de 1 TB - Hasta 420 MB/s, fundición de metal de aluminio duradero,</t>
  </si>
  <si>
    <t>Cables de conexión</t>
  </si>
  <si>
    <t>Paquete de 40 - Cable Dupón Hembra - Hembra 10 Cm</t>
  </si>
  <si>
    <t>Paquete de 40 - Cable Dupont Hembra - Hembra 15 Cm</t>
  </si>
  <si>
    <t>Paquete de 40 - Cable Dupón Hembra - Hembra 20 Cm</t>
  </si>
  <si>
    <t>Mouse Inalambrico</t>
  </si>
  <si>
    <t>Ratón silencioso Bluetooth ThinkPad</t>
  </si>
  <si>
    <t>Mouse Cableado</t>
  </si>
  <si>
    <t>Mouse USB 300, ratón de computadora con cable USB - Ratón óptico ambidiestro de tamaño completo con 1600 DPI, conexión confiable USB-A por cable, fácil navegación de 3 botones – Ratón básico GX30M39704.</t>
  </si>
  <si>
    <t>Dispositivo Video</t>
  </si>
  <si>
    <t>Transmisor y receptor HDMI inalámbrico USB-C - 1080P a 60Hz, transmisión 2.4G/5G, rango de 100 pies, compatible con smartphone, laptop, Netflix, proyector, televisión de alta definición, Plug &amp; Play.</t>
  </si>
  <si>
    <t>Cable HDMI</t>
  </si>
  <si>
    <t xml:space="preserve">Cable Hdmi 5 metros Premium 8k 4k Alta Velocidad Ultra Hd 48gbps
</t>
  </si>
  <si>
    <t>Cable Hdmi 10 metros  Premium 8k 4k Alta Velocidad Ultra Hd 48gbps.</t>
  </si>
  <si>
    <t>Tarjeta Red</t>
  </si>
  <si>
    <t>Puente inalámbrico punto a punto al aire libre – Puente WiFi de 3300 pies de transmisión de largo alcance, 802.11ah WiFi HaLow Dongle con cable Ethernet inalambrico 915Mhz Atenna (juego de par AP + STA).</t>
  </si>
  <si>
    <t>alibaba</t>
  </si>
  <si>
    <t>Totales</t>
  </si>
  <si>
    <t>Pintura Acrílica Profesional</t>
  </si>
  <si>
    <t>Está elaborada con pigmentos orgánicos e inorgánicos de alta pureza, finamente molidos y dispersos en una resina acrílica copolímera 100%. Su fórmula avanzada ofrece un acabado satinado, colores intensos y duraderos, excelente poder cubriente, flexibilidad y un secado rápido que facilita el trabajo por capas.
CARACTERÍSTICAS DESTACADAS:
Calidad profesional: Ideal para técnicas exigentes y resultados duraderos.
Colores intensos y de alta cobertura: Acabado satinado de aspecto profesional.
Secado rápido: Ideal para trabajos en capas sin largas esperas.
Alta adherencia y flexibilidad: Evita cuarteaduras, incluso en soportes porosos o irregulares.
Resistente a la luz y al amarillamiento: Conserva su intensidad con el tiempo.
Fórmula no tóxica: Segura para uso en espacios cerrados, proyectos profesionales o decorativos.. Frasco de 100ml con tapa dosificadora. Colores surtidos según anexo técnico.</t>
  </si>
  <si>
    <t>Franco Arte</t>
  </si>
  <si>
    <t xml:space="preserve">Bocetos Papelería / Falabella </t>
  </si>
  <si>
    <t>Set de Pinceles Planos (Sintéticos)</t>
  </si>
  <si>
    <t>Set x 5 pinceles planos de pelo sintético (Taklon) de alta resistencia. Tamaños variados (2, 4, 8, 10, 12). Virola de aluminio antioxidante y mango de madera ergonómico.</t>
  </si>
  <si>
    <t>Set x 5 unidades</t>
  </si>
  <si>
    <t>Pincel Liner Profesional</t>
  </si>
  <si>
    <t>Pincel de pelo largo sintético extra fino (referencia 000 o 0), ideal para fileteado y caligrafía en madera. Alta capacidad de carga de pigmento y punta indeformable.</t>
  </si>
  <si>
    <t>Barniz Final Base Agua</t>
  </si>
  <si>
    <t>Barniz protector transparente, no amarillento, con filtro UV. Acabado semi-mate. Debe ser de bajo olor, no tóxico y compatible con pinturas acrílicas. Presentación de 120ml.</t>
  </si>
  <si>
    <t xml:space="preserve">Lija de Agua Silicio Grano </t>
  </si>
  <si>
    <t>Hojas de lija de carburo de silicio, alta flexibilidad y resistencia al desgarro. Especial para preparación de superficies de madera y pulido entre capas de pintura. Grano variado de 220</t>
  </si>
  <si>
    <t>Easy Colombia</t>
  </si>
  <si>
    <t>Adhesivo PVA para Madera</t>
  </si>
  <si>
    <t>Pegante blanco concentrado de alta densidad (tipo carpintería). Libre de solventes, secado transparente y alta resistencia a la tracción. Presentación de 250g.</t>
  </si>
  <si>
    <t>Mercado Libre</t>
  </si>
  <si>
    <t>Paleta Mezcladora</t>
  </si>
  <si>
    <t>Paleta de plástico polipropileno de alta densidad con mínimo 10 pozos para mezcla de pigmentos. Fácil limpieza y superficie lisa antiadherente.</t>
  </si>
  <si>
    <t xml:space="preserve">Unidad </t>
  </si>
  <si>
    <t>Creativebox Colombia</t>
  </si>
  <si>
    <t>Pasta para Relieve (Texturizador)</t>
  </si>
  <si>
    <t>Pasta acrílica blanca para efectos 3D y estarcido. Debe mantener el volumen tras el secado sin agrietarse. Compatible con espátulas y stencils. Frasco x 120ml.</t>
  </si>
  <si>
    <t xml:space="preserve">Fallabela </t>
  </si>
  <si>
    <t>Espátulas plásticas de polipropileno</t>
  </si>
  <si>
    <t>Espátula de polipropileno de alta resistencia química, flexible, con borde biselado para aplicación de pastas de relieve. Set por 3 tamaños (1", 2", 3"). Superficie antiadherente de fácil limpieza.</t>
  </si>
  <si>
    <t>Set x 3 Unidades</t>
  </si>
  <si>
    <t>Esponjas para efectos artísticos</t>
  </si>
  <si>
    <t>Esponja de estructura de celda abierta (tipo marina o sintética de alta densidad) para técnica de estarcido. Diámetro entre 5-7 cm. Debe permitir lavados repetitivos sin desmoronarse.</t>
  </si>
  <si>
    <t xml:space="preserve">Suescun </t>
  </si>
  <si>
    <t>Rodillos de espuma de alta densidad</t>
  </si>
  <si>
    <t>Rodillo de espuma de poliuretano de celda fina, ancho de 5 cm (2"), con mango de polímero ergonómico y eje de acero galvanizado. Especial para aplicación de bases acrílicas sin dejar burbujas.</t>
  </si>
  <si>
    <t>Decapador de calor para artesanías</t>
  </si>
  <si>
    <t>Pistola de calor de baja emisión sonora, con al menos dos niveles de temperatura Graduación Digital (mínimo 300°C). Boquilla de acero inoxidable y protección contra sobrecalentamiento. Cable de mínimo 1.5 metros.</t>
  </si>
  <si>
    <t>Cinta de enmascarar de baja adhesión</t>
  </si>
  <si>
    <t>Cinta de papel crepé con adhesivo acrílico reposicionable. Ancho 24mm x 40m. Diseñada para no transferir adhesivo ni levantar capas de pintura base en superficies de madera o MDF.</t>
  </si>
  <si>
    <t>Panamericana</t>
  </si>
  <si>
    <t>Limpia pinceles con rejilla decantadora</t>
  </si>
  <si>
    <t>Recipiente plástico de alta resistencia (mínimo 500ml) con sistema de rejilla interior de acero inoxidable o plástico rígido para decantación de pigmentos. Tapa hermética para evitar evaporación.</t>
  </si>
  <si>
    <t>Paños de limpieza de microfibra</t>
  </si>
  <si>
    <t>Paño de microfibra (80% poliéster, 20% poliamida), gramaje mínimo 250 g/m². Tamaño 40x40 cm. Alta capacidad de absorción y sin desprendimiento de motas para limpieza de superficies prepintadas.</t>
  </si>
  <si>
    <t>Protector de mesa (Mantelería PVC)</t>
  </si>
  <si>
    <t>Plástico PVC cristal o vinilo protector, calibre mínimo 12, ancho 1.40 m. Resistente a solventes de pátinas al aceite y adherencia de resinas epóxicas.</t>
  </si>
  <si>
    <t>Regla metálica de precisión</t>
  </si>
  <si>
    <t>Regla de acero inoxidable graduada en milímetros y pulgadas. Longitud 30 cm. Grabado en bajo relieve para evitar desgaste por uso de bisturí o contacto con pinturas.</t>
  </si>
  <si>
    <t>Papel transfer (Carboncillo amarillo/blanco)</t>
  </si>
  <si>
    <t>Pliegos de papel de transferencia libre de cera, especial para superficies oscuras. No mancha la madera y permite el borrado del trazo. Tamaño mínimo oficio.</t>
  </si>
  <si>
    <t>Lápices de grafito técnico 2H</t>
  </si>
  <si>
    <t>Lápiz de madera con mina de grafito grado 2H (duro). Ideal para marcado fino en madera sellada sin generar exceso de polvo de grafito que ensucie el color.</t>
  </si>
  <si>
    <t xml:space="preserve">resina epoxica gemelos </t>
  </si>
  <si>
    <t>Sistema de dos componentes (A y B) transparente, autonivelante, de alto brillo y resistencia al rayado. Especial para acabado vítreo en tapas de cajas y relojes. Presentación Kit 500ml.</t>
  </si>
  <si>
    <t xml:space="preserve">quimicos el eje </t>
  </si>
  <si>
    <t>Lija de Agua Silicio (Grano 320/400)</t>
  </si>
  <si>
    <t>Pliegos de lija impermeables de carburo de silicio. Alta flexibilidad para lijado de bordes curvos en MDF. 50% grano 320 y 50% grano 400.</t>
  </si>
  <si>
    <t>pliego</t>
  </si>
  <si>
    <t xml:space="preserve">tornituercass y herramientas </t>
  </si>
  <si>
    <t xml:space="preserve">casa andina </t>
  </si>
  <si>
    <t>Pátinas al Aceite</t>
  </si>
  <si>
    <t>Producto para envejecido y sombreado técnico. Colores: Café, Wengue y Oro. Alta transparencia y tiempo de secado prolongado para manipulación artística. Frasco 30ml.</t>
  </si>
  <si>
    <t xml:space="preserve">orocolor </t>
  </si>
  <si>
    <t xml:space="preserve">fusion color </t>
  </si>
  <si>
    <t>produart</t>
  </si>
  <si>
    <t>Maquinaria para Reloj</t>
  </si>
  <si>
    <t>Kit de motor de cuarzo silencioso para madera de 9mm, incluye manecillas (hora, minuto, segundero) de metal y tuerca de fijación.</t>
  </si>
  <si>
    <t>ferretronica</t>
  </si>
  <si>
    <t xml:space="preserve">publicitar </t>
  </si>
  <si>
    <t xml:space="preserve">60124305
</t>
  </si>
  <si>
    <t>cajas en mdf para arte country</t>
  </si>
  <si>
    <t>Dimensiones: 20 cm de largo x 15 cm de ancho.Altura estándar: Suele variar entre 5 cm y 10 cm, dependiendo del uso (joyero, costurero o recuerdo).Material: MDF de alta densidad (generalmente de 3 mm o 5 mm de espesor), con un acabado suave que facilita el lijado y la adherencia de la pintura.Construcción: Ensambles precisos con cortes láser o router CNC, lo que garantiza ángulos de $90^\circ$ perfectos.</t>
  </si>
  <si>
    <t>maderbox</t>
  </si>
  <si>
    <t>figurarte</t>
  </si>
  <si>
    <t>portisur</t>
  </si>
  <si>
    <t>organizadorers de escritorio en mdf</t>
  </si>
  <si>
    <t>Los organizadores de escritorio de madera varían en medidas según su diseño (cajoneras, portalápices o estantes), encontrándose opciones compactas desde 12x12 cm hasta organizadores amplios de 
 cm o más. Las medidas más comunes para escritorio con cajoneras rondan los 24.5 cm de ancho, 25.4 cm de alto y 15 cm de profundidad</t>
  </si>
  <si>
    <t xml:space="preserve">60124305
</t>
  </si>
  <si>
    <t>juegos de porta vasos</t>
  </si>
  <si>
    <t>ase o Contenedor: Una caja pequeña o soporte diseñado para mantener los portavasos organizados. Esta pieza suele ser la protagonista del diseño principal.
Discos (Portavasos): Generalmente sets de 4 o 6 piezas. Tienen un grosor estándar de 3 mm a 5 mm, lo que les da resistencia sin ser demasiado toscos</t>
  </si>
  <si>
    <t xml:space="preserve">cajas de servilletas </t>
  </si>
  <si>
    <t>Los servilleteros para arte country son piezas artesanales fabricadas comúnmente en madera MDF o pino, caracterizadas por diseños rústicos o tiernos (vacas, conejos, manzanas, gallinas) decorados con técnicas de pintura acrílica, decoupage, craquelado o patinas. Sus medidas estándar suelen rondar los  13 x6 cm o  13x8
 para modelos de media luna, 15 x 10 y 
 para diseños rectangulares, ideales para servilletas de papel o tela</t>
  </si>
  <si>
    <t xml:space="preserve">casas de huevos </t>
  </si>
  <si>
    <t>Las casas de huevos para arte country son organizadores decorativos de cocina hechos principalmente en madera (MDF o pino), diseñados con una estética rústica y campestre (Farmhouse). Suelen tener forma de casita o gallinero, capacidad para 12-30 huevos</t>
  </si>
  <si>
    <t xml:space="preserve">trazos de arte </t>
  </si>
  <si>
    <t>caja de relojes</t>
  </si>
  <si>
    <t>estructura de madera rústica (generalmente pino de 9 mm), con acabados envejecidos o decapados, ideal para personalizar con apliques vintage, pintura acrílica y técnicas de decapado. Suelen incluir divisiones interiores, almohadillas y, a menudo, una tapa con vidrio para exhibición Material: Madera, principalmente pino o triplex de pino de 9 mm de grosor</t>
  </si>
  <si>
    <t>extension de cable multitoma</t>
  </si>
  <si>
    <t>Carcasa Ignífuga: El exterior debe estar fabricado en policarbonato o plástico ABS de alto impacto con clasificación UL 94 V-0, lo que significa que el material es autoextinguible en caso de incendio. de 3 metros 
Cable de Uso Rudo: El cable debe ser grueso (calibre 14 AWG o superior) para manejar cargas de hasta 15 Amperios sin calentarse  Característica	Especificación Recomendada
Voltaje de operación	110V - 125V (según la región)
Corriente máxima	15 A
Potencia máxima	1875 W
Certificaciones	UL (Underwriters Laboratories) o NOM</t>
  </si>
  <si>
    <t>sirius</t>
  </si>
  <si>
    <t>pincel de espuma o brocha espuma</t>
  </si>
  <si>
    <t>herramienta de pintura, caracterizada por una cabeza de espuma porosa con mango de madera o plástico  Espuma (usualmente oscura o negra) que absorbe pintura de manera uniforme, lo que reduce la necesidad de recargar constantemente 25 mm</t>
  </si>
  <si>
    <t xml:space="preserve">homcenter </t>
  </si>
  <si>
    <t>papeleria alvarez</t>
  </si>
  <si>
    <t>aceite de teca</t>
  </si>
  <si>
    <t>es un tratamiento protector y nutritivo, diseñado principalmente para maderas exóticas, tropicales y de teca en exteriores, aunque también se usa en interiores. Penetra profundamente para hidratar, realzar la veta natural, y proteger contra la humedad, los rayos UV y el grisáceo, sin formar película galon</t>
  </si>
  <si>
    <t xml:space="preserve">homecenter </t>
  </si>
  <si>
    <t xml:space="preserve">sellador en spryte mate </t>
  </si>
  <si>
    <t>spray para madera es una solución de secado rápido diseñada para acondicionar, sellar poros y proteger superficies de madera, ideal para muebles interiores, molduras y artesanías. Proporciona un acabado uniforme y transparente, facilita el lijado y mejora el rendimiento de lacas o barnices finales, ofreciendo alta resistencia y cubrimiento</t>
  </si>
  <si>
    <t>galon</t>
  </si>
  <si>
    <t>machetico</t>
  </si>
  <si>
    <t xml:space="preserve">caladora o segueta  manual de hilo </t>
  </si>
  <si>
    <t>herramienta de corte de precisión, caracterizada por un arco de acero sólido (generalmente de 6 a 12 pulgadas) y un mango ergonómico (madera o plástico), diseñado para realizar cortes curvos, detallados y calados en madera, plástico y metales blandos, utilizando hojas de sierra delgadas y finas</t>
  </si>
  <si>
    <t xml:space="preserve">la casa de la herramienta </t>
  </si>
  <si>
    <t>segueta de hilo para caladora</t>
  </si>
  <si>
    <t xml:space="preserve">mercadolbre </t>
  </si>
  <si>
    <t>lavallejo</t>
  </si>
  <si>
    <t xml:space="preserve">tecnifacil </t>
  </si>
  <si>
    <t>papel transfer</t>
  </si>
  <si>
    <t>material especializado, comúnmente de tipo lámina calcomanía (waterslide) o transferencias DTF, diseñado para trasladar imágenes impresas con precisión a superficies de madera, logrando acabados personalizados tipo pintura o vinilo</t>
  </si>
  <si>
    <t>insublitex</t>
  </si>
  <si>
    <t>prensa esquinera</t>
  </si>
  <si>
    <t>herramienta de fijación esencial diseñada para sujetar piezas en ángulos rectos precisos (
), ideal para ensamblajes, encolados, clavado o atornillado de marcos, gavetas y muebles. Construidas generalmente en aluminio fundido o metal, ofrecen alta resistencia y firmeza para trabajos de carpintería</t>
  </si>
  <si>
    <t xml:space="preserve">soelco </t>
  </si>
  <si>
    <t xml:space="preserve">el machetico </t>
  </si>
  <si>
    <t>prensa rapida 8"</t>
  </si>
  <si>
    <t>prensa rápida, también conocida como sargento de gatillo o de una mano, es una herramienta de sujeción manual de alta velocidad, diseñada para carpintería, herrería y bricolaje. Utiliza un mecanismo de palanca o gatillo para ajustar muelas de hierro fundido o acero, permitiendo un apriete firme hasta 5 veces más rápido que las tradicionales.</t>
  </si>
  <si>
    <t>prensa tipo c 18cm</t>
  </si>
  <si>
    <t xml:space="preserve"> herramienta de sujeción robusta con un marco en forma de "C", fabricada comúnmente en hierro nodular o fundido, diseñada para sujetar firmemente piezas de madera o metal. Cuenta con una manija deslizante en "T" y un tornillo de rosca profunda (frecuentemente zincada) que permite ajustar la presión con alta precisión y un agarre firme</t>
  </si>
  <si>
    <t>ferricentro</t>
  </si>
  <si>
    <t xml:space="preserve">ferreteria bravo </t>
  </si>
  <si>
    <t>belltec</t>
  </si>
  <si>
    <t>triplex de 12mm</t>
  </si>
  <si>
    <t>triplex (terciado/contrachapado) de 12 mm es un tablero estructural de madera, generalmente pino radiata, compuesto por capas impares superpuestas, ideal para muebles, divisiones y construcción. Sus dimensiones estándar son 
 metros, ofreciendo alta resistencia, estabilidad y buen anclaje para tornillos y clavos</t>
  </si>
  <si>
    <t>triplex de 3 mm</t>
  </si>
  <si>
    <t>triplex (o contrachapado) de 3 mm (usualmente 3.2 mm) es un tablero delgado y ligero, formado por finas chapas de madera unidas con resina, con unas dimensiones estándar de 
 metros. Es ideal para trabajos de carpintería fina, fondos de muebles, manualidades y revestimientos decorativos, ofreciendo alta flexibilidad, bajo peso y gran versatilidad para corte láser o manual</t>
  </si>
  <si>
    <t xml:space="preserve">acemar </t>
  </si>
  <si>
    <t>mdf de 3mm</t>
  </si>
  <si>
    <t>Fibras de madera (generalmente pino radiata) unidas con resinas a alta temperatura, resultando en un color marrón claro/tostado natural. Las hojas suelen encontrarse en  tamaños de  1.83c 2.84 metros,  
 metros o 
 metros.</t>
  </si>
  <si>
    <t>casandina</t>
  </si>
  <si>
    <t xml:space="preserve">flexometro </t>
  </si>
  <si>
    <t>flexómetro de 3 metros es una cinta métrica compacta y portátil, ideal para trabajos de bricolaje, medición en interiores y construcción ligera. Cuenta con una cinta de acero autoenrollable (usualmente de 13-16mm de ancho) alojada en una carcasa de ABS o plástico, con bloqueo de seguridad y punta gancho para mediciones precisas</t>
  </si>
  <si>
    <t>almacenes hj</t>
  </si>
  <si>
    <t>caja de herramientas plastica  14 "</t>
  </si>
  <si>
    <t>contenedor portátil y ligero, diseñado para organizar y transportar herramientas, fabricado comúnmente en polipropileno de alta resistencia. Incluye características como bandejas desmontables, cierres de seguridad (plásticos o metálicos), organizadores en la tapa para objetos pequeños, manijas ergonómicas y capacidades que varían desde las 13 hasta más de 22 pulgadas, siendo ideal para uso doméstico, taller o bricolaje por ser resistente al óxido</t>
  </si>
  <si>
    <t>lamina</t>
  </si>
  <si>
    <t>ferreteria rhino</t>
  </si>
  <si>
    <t>martillo</t>
  </si>
  <si>
    <t>es una herramienta de acero forjado diseñada para clavar y extraer clavos. Se caracteriza por una cabeza con una cara plana para golpear y una uña curvada o recta para hacer palanca, siendo esencial para trabajos de carpintería, ensamblaje y construcción</t>
  </si>
  <si>
    <t xml:space="preserve">easy </t>
  </si>
  <si>
    <t>pegante de secado rapido en spray</t>
  </si>
  <si>
    <t xml:space="preserve"> adhesivo industrial o doméstico contenido en un envase presurizado, diseñado para una aplicación uniforme, rápida y limpia mediante pulverización</t>
  </si>
  <si>
    <t xml:space="preserve">infinita distribuidora </t>
  </si>
  <si>
    <t>escuadra metalica</t>
  </si>
  <si>
    <t>escuadra metálica para madera es una herramienta esencial de carpintería en forma de "L" o triángulo, fabricada en acero inoxidable o aluminio, diseñada para trazar, medir y verificar ángulos de 
 y 
. Ofrece alta precisión, durabilidad, graduaciones permanentes (métrica/pulgadas) y resistencia a la corrosión, siendo ideal para ensamblajes, cortes rectos y diseño de vigas</t>
  </si>
  <si>
    <t>maquitodo</t>
  </si>
  <si>
    <t>prensa rapida 16"</t>
  </si>
  <si>
    <t xml:space="preserve">ferreteria luis penagos </t>
  </si>
  <si>
    <t>prensa etipo C largo 15 cm</t>
  </si>
  <si>
    <t>total Lote</t>
  </si>
  <si>
    <t>Pacardyl Supermercados</t>
  </si>
  <si>
    <t>Para los precios consultados en Supermercados Pacardyl (Proveedor 10), por tratarse de un proveedor local sin entrega directa al Centro de Formación, se adicionó un costo de $10.000 correspondiente al transporte Empresa–Centro de Formación. Este ajuste se fundamenta en la Circular SENA 0133 de 2013 y en la Guía de Estudios del Sector de Colombia Compra Eficiente, que permiten incluir costos logísticos no reflejados en el precio web.
Para los precios consultados en Supermercados EURO (Proveedor 5), por ser un proveedor local sin entrega directa al Centro de Formación, se adicionó un costo de $10.000 por concepto de transporte en la ruta Empresa–Centro de Formación. Este ajuste se fundamenta en la Circular SENA 0133 de 2013 y en la Guía de Estudios del Sector de Colombia Compra Eficiente, que permiten sumar costos logísticos no incluidos en el precio web.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t>
  </si>
  <si>
    <t>EURO Supermercado online</t>
  </si>
  <si>
    <t>Éxito online</t>
  </si>
  <si>
    <t>Para los precios consultados en Éxito Online (Proveedor 4), por tratarse de un proveedor local que no realiza entrega directa en el Centro de Formación, se adicionó un costo de $10.000 correspondiente al transporte en la ruta Empresa–Centro de Formación. Este ajuste es compatible con la Circular SENA 0133 de 2013, que permite incluir costos logísticos dentro del estudio de mercado, y con la Guía de Estudios del Sector de Colombia Compra Eficiente, la cual autoriza ajustar precios web para incorporar fletes y condiciones reales de entrega
Para los precios consultados en Supermercados EURO (Proveedor 5), por ser un proveedor local sin entrega directa al Centro de Formación, se adicionó un costo de $10.000 por concepto de transporte en la ruta Empresa–Centro de Formación. Este ajuste se fundamenta en la Circular SENA 0133 de 2013 y en la Guía de Estudios del Sector de Colombia Compra Eficiente, que permiten sumar costos logísticos no incluidos en el precio web.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t>
  </si>
  <si>
    <r>
      <t xml:space="preserve">Para los precios consultados en Éxito Online (Proveedor 4), por tratarse de un proveedor local que no realiza entrega directa en el Centro de Formación, se adicionó un costo de $10.000 correspondiente al transporte en la ruta Empresa–Centro de Formación. Este ajuste es compatible con la Circular SENA 0133 de 2013, que permite incluir costos logísticos dentro del estudio de mercado, y con la Guía de Estudios del Sector de Colombia Compra Eficiente, la cual autoriza ajustar precios web para incorporar fletes y condiciones reales de entrega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
</t>
    </r>
    <r>
      <rPr>
        <b/>
        <sz val="10"/>
        <color theme="1"/>
        <rFont val="Calibri"/>
        <family val="2"/>
        <scheme val="minor"/>
      </rPr>
      <t>Proveedor 3.</t>
    </r>
    <r>
      <rPr>
        <sz val="10"/>
        <color theme="1"/>
        <rFont val="Calibri"/>
        <family val="2"/>
        <scheme val="minor"/>
      </rPr>
      <t xml:space="preserve"> Precio obtenido por precotización directa de Mundo Huevo
Para los precios online el incremento realizado no corresponde a un porcentaje arbitrario, sino a la suma de costos reales asociados a la entrega física, lo cual se ajusta a los principios de economía, responsabilidad y selección objetiva</t>
    </r>
  </si>
  <si>
    <t>Mundo Huevo</t>
  </si>
  <si>
    <r>
      <t xml:space="preserve">En el caso del Proveedor 1, los precios obtenidos desde su página web fueron ajustados incorporando el costo de transporte para la ruta Bogotá–Itagüí. Este valor corresponde al cálculo automático que genera la plataforma del proveedor al finalizar la compra, el cual depende directamente del peso, volumen y cantidad de los productos seleccionados. Por tanto, el costo de envío reflejado se considera un valor real y aplicable dentro de las condiciones efectivas de entrega al Centro de Formación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
</t>
    </r>
    <r>
      <rPr>
        <b/>
        <sz val="10"/>
        <color theme="1"/>
        <rFont val="Calibri"/>
        <family val="2"/>
        <scheme val="minor"/>
      </rPr>
      <t>Proveedor 3.</t>
    </r>
    <r>
      <rPr>
        <sz val="10"/>
        <color theme="1"/>
        <rFont val="Calibri"/>
        <family val="2"/>
        <scheme val="minor"/>
      </rPr>
      <t xml:space="preserve"> Precio obtenido por precotización directa de Mundo Huevo
Para los precios online el incremento realizado no corresponde a un porcentaje arbitrario, sino a la suma de costos reales asociados a la entrega física, lo cual se ajusta a los principios de economía, responsabilidad y selección objetiva</t>
    </r>
  </si>
  <si>
    <t>Orquidea online</t>
  </si>
  <si>
    <t>En el caso del Proveedor 1, los precios obtenidos desde su página web fueron ajustados incorporando el costo de transporte para la ruta Bogotá–Itagüí. Este valor corresponde al cálculo automático que genera la plataforma del proveedor al finalizar la compra, el cual depende directamente del peso, volumen y cantidad de los productos seleccionados. Por tanto, el costo de envío reflejado se considera un valor real y aplicable dentro de las condiciones efectivas de entrega al Centro de Formación
Para los precios consultados en MERCADO LIBRE (Proveedor 2), aunque la plataforma ofrece envío gratuito para compras superiores a $60.000, se adicionó un costo de $10.000 correspondiente al transporte desde el punto de entrega hasta el Centro de Formación.
Este ajuste es válido conforme a la Circular SENA 0133 de 2013, que permite incluir costos de logística y transporte dentro del estudio de mercado, y a la Guía de Estudios del Sector de Colombia Compra Eficiente, la cual autoriza ajustar precios web para reflejar costos no incluidos como fletes y condiciones reales de entrega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t>
  </si>
  <si>
    <r>
      <rPr>
        <b/>
        <sz val="10"/>
        <color theme="1"/>
        <rFont val="Calibri"/>
        <family val="2"/>
        <scheme val="minor"/>
      </rPr>
      <t xml:space="preserve">Proveedor 3. </t>
    </r>
    <r>
      <rPr>
        <sz val="10"/>
        <color theme="1"/>
        <rFont val="Calibri"/>
        <family val="2"/>
        <scheme val="minor"/>
      </rPr>
      <t>Precio obtenido por precotización directa de Mundo Huevo
Para los precios consultados en MERCADO LIBRE (Proveedor 2), aunque la plataforma ofrece envío gratuito para compras superiores a $60.000, se adicionó un costo de $10.000 correspondiente al transporte desde el punto de entrega hasta el Centro de Formación.
Este ajuste es válido conforme a la Circular SENA 0133 de 2013, que permite incluir costos de logística y transporte dentro del estudio de mercado, y a la Guía de Estudios del Sector de Colombia Compra Eficiente, la cual autoriza ajustar precios web para reflejar costos no incluidos como fletes y condiciones reales de entrega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t>
    </r>
  </si>
  <si>
    <r>
      <rPr>
        <b/>
        <sz val="10"/>
        <color theme="1"/>
        <rFont val="Calibri"/>
        <family val="2"/>
        <scheme val="minor"/>
      </rPr>
      <t xml:space="preserve">Proveedor 3. Precio obtenido por precotización directa de Mundo Huevo
</t>
    </r>
    <r>
      <rPr>
        <sz val="10"/>
        <color theme="1"/>
        <rFont val="Calibri"/>
        <family val="2"/>
        <scheme val="minor"/>
      </rPr>
      <t xml:space="preserve">Para los precios consultados en Supermercados EURO (Proveedor 5), por ser un proveedor local sin entrega directa al Centro de Formación, se adicionó un costo de $10.000 por concepto de transporte en la ruta Empresa–Centro de Formación. Este ajuste se fundamenta en la Circular SENA 0133 de 2013 y en la Guía de Estudios del Sector de Colombia Compra Eficiente, que permiten sumar costos logísticos no incluidos en el precio web.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
</t>
    </r>
  </si>
  <si>
    <t>Para los precios consultados en MERCADO LIBRE (Proveedor 2), aunque la plataforma ofrece envío gratuito para compras superiores a $60.000, se adicionó un costo de $10.000 correspondiente al transporte desde el punto de entrega hasta el Centro de Formación.
Este ajuste es válido conforme a la Circular SENA 0133 de 2013, que permite incluir costos de logística y transporte dentro del estudio de mercado, y a la Guía de Estudios del Sector de Colombia Compra Eficiente, la cual autoriza ajustar precios web para reflejar costos no incluidos como fletes y condiciones reales de entrega
Para los precios consultados en HomeCenter (Proveedor 6), por tratarse de un proveedor local cuyos precios web no incluyen entrega en sede, se adicionó un valor de $10.000 correspondiente al transporte Empresa–Centro de Formación. Lo anterior se soporta en la Circular SENA 0133 de 2013 y la Guía de Colombia Compra Eficiente, que autorizan incorporar costos logísticos necesarios para la entrega efectiva del bien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t>
  </si>
  <si>
    <r>
      <rPr>
        <b/>
        <sz val="10"/>
        <color theme="1"/>
        <rFont val="Calibri"/>
        <family val="2"/>
        <scheme val="minor"/>
      </rPr>
      <t>Proveedor 3. Precio obtenido por precotización directa de Mundo Huevo
Para los precios online el incremento realizado no corresponde a un porcentaje arbitrario, sino a la suma de costos reales asociados a la entrega física, lo cual se ajusta a los principios de economía, responsabilidad y selección objetiva</t>
    </r>
    <r>
      <rPr>
        <sz val="10"/>
        <color theme="1"/>
        <rFont val="Calibri"/>
        <family val="2"/>
        <scheme val="minor"/>
      </rPr>
      <t xml:space="preserve">
</t>
    </r>
    <r>
      <rPr>
        <b/>
        <sz val="10"/>
        <color theme="1"/>
        <rFont val="Calibri"/>
        <family val="2"/>
        <scheme val="minor"/>
      </rPr>
      <t>Proveedor 6</t>
    </r>
    <r>
      <rPr>
        <sz val="10"/>
        <color theme="1"/>
        <rFont val="Calibri"/>
        <family val="2"/>
        <scheme val="minor"/>
      </rPr>
      <t>. El precio base del producto fue obtenido mediante consulta en línea en el portal del proveedor HomeCenter, dado que a esta Empresa se encuentra con Sedes en Toda el ärea Metroplitana del Valle de Aburrá, el valor base  consultado en la web fue ajustado únicamente con costos verificables:transporte local, materiales de embalaje utilizados por el proveedor y un ajuste técnico del 4% por variación de precios del mercado
El incremento realizado no corresponde a un porcentaje arbitrario, sino a la suma de costos reales asociados a la entrega física, lo cual se ajusta a los principios de economía, responsabilidad y selección objetiva</t>
    </r>
  </si>
  <si>
    <t>Cajas y Empaques de Colombia</t>
  </si>
  <si>
    <t>Para los precios consultados en Cajas y Empaques de Colombia (Proveedor 7), ubicado en Medellín e Itagüí, se adicionó un costo de $10.000 por transporte en la ruta Empresa–Centro de Formación, debido a que el proveedor no realiza entrega directa en el Centro. Este ajuste se encuentra amparado por la Circular SENA 0133 de 2013 y la Guía de Estudios del Sector de Colombia Compra Eficiente respecto a la inclusión de costos logísticos
Para los precios consultados en Unicorsa (Proveedor 8), proveedor local ubicado en Itagüí, se adicionó un costo de $10.000 correspondiente al transporte Empresa–Centro de Formación. Este ajuste es válido según la Circular SENA 0133 de 2013, que permite incorporar costos de entrega en el estudio de mercado, y la Guía de Estudios del Sector de Colombia Compra Eficiente, que autoriza ajustar precios web para reflejar fletes y otros costos no incluidos.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t>
  </si>
  <si>
    <t>Unicorsa</t>
  </si>
  <si>
    <t>Para los precios consultados en la página web de Mundo Huevo (Proveedor 3), por tratarse de un proveedor local que no ofrece servicio de entrega directa al Centro de Formación, se adicionó un costo de $10.000 correspondiente al transporte en la ruta Empresa–Centro de Formación.
Este ajuste se encuentra soportado en la Circular SENA 0133 de 2013, que permite incluir costos de logística y transporte dentro del estudio de mercado, y en la Guía para la Elaboración de Estudios del Sector de Colombia Compra Eficiente, la cual autoriza ajustar precios web para incorporar costos no incluidos como fletes y condiciones efectivas de entrega.
En el caso del Proveedor 1, los precios obtenidos desde su página web fueron ajustados incorporando el costo de transporte para la ruta Bogotá–Itagüí. Este valor corresponde al cálculo automático que genera la plataforma del proveedor al finalizar la compra, el cual depende directamente del peso, volumen y cantidad de los productos seleccionados. Por tanto, el costo de envío reflejado se considera un valor real y aplicable dentro de las condiciones efectivas de entrega al Centro de Formación.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t>
  </si>
  <si>
    <t>Proveedor 3. El precio base del producto fue obtenido mediante consulta en línea en el portal del proveedor Mundo Huevo, dado que a esta Empresa se encuentra con Sedes en Toda el ärea Metroplitana del Valle de Aburrá, el valor base  consultado en la web fue ajustado únicamente con costos verificables:transporte local, materiales de embalaje utilizados por el proveedor y un ajuste técnico del 4% por variación de precios del mercado
Proveedor 2. Precio base obtenido mediante consulta en línea, el cual fue ajustado con costos verificables desde la misma plataforma, materiales de embalaje utilizados por el proveedor y un ajuste técnico del 4% por variación de precios del mercado.
El incremento realizado no corresponde a un porcentaje arbitrario, sino a la suma de costos reales asociados a la entrega física, lo cual se ajusta a los principios de economía, responsabilidad y selección objetiva</t>
  </si>
  <si>
    <t>En el caso del Proveedor 1, los precios obtenidos desde su página web fueron ajustados incorporando el costo de transporte para la ruta Bogotá–Itagüí. Este valor corresponde al cálculo automático que genera la plataforma del proveedor al finalizar la compra, el cual depende directamente del peso, volumen y cantidad de los productos seleccionados. Por tanto, el costo de envío reflejado se considera un valor real y aplicable dentro de las condiciones efectivas de entrega al Centro de Formación.
Para los precios consultados en HomeCenter (Proveedor 6), por tratarse de un proveedor local cuyos precios web no incluyen entrega en sede, se adicionó un valor de $10.000 correspondiente al transporte Empresa–Centro de Formación. Lo anterior se soporta en la Circular SENA 0133 de 2013 y la Guía de Colombia Compra Eficiente, que autorizan incorporar costos logísticos necesarios para la entrega efectiva del bien.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t>
  </si>
  <si>
    <t>Para los precios consultados en MERCADO LIBRE (Proveedor 2), aunque la plataforma ofrece envío gratuito para compras superiores a $60.000, se adicionó un costo de $10.000 correspondiente al transporte desde el punto de entrega hasta el Centro de Formación.
Este ajuste es válido conforme a la Circular SENA 0133 de 2013, que permite incluir costos de logística y transporte dentro del estudio de mercado, y a la Guía de Estudios del Sector de Colombia Compra Eficiente, la cual autoriza ajustar precios web para reflejar costos no incluidos como fletes y condiciones reales de entrega.
Para los precios consultados en la página web de Mundo Huevo (Proveedor 3), por tratarse de un proveedor local que no ofrece servicio de entrega directa al Centro de Formación, se adicionó un costo de $10.000 correspondiente al transporte en la ruta Empresa–Centro de Formación.
Este ajuste se encuentra soportado en la Circular SENA 0133 de 2013, que permite incluir costos de logística y transporte dentro del estudio de mercado, y en la Guía para la Elaboración de Estudios del Sector de Colombia Compra Eficiente, la cual autoriza ajustar precios web para incorporar costos no incluidos como fletes y condiciones efectivas de entrega.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t>
  </si>
  <si>
    <t>Para los precios consultados en MERCADO LIBRE (Proveedor 2), aunque la plataforma ofrece envío gratuito para compras superiores a $60.000, se adicionó un costo de $10.000 correspondiente al transporte desde el punto de entrega hasta el Centro de Formación.
Este ajuste es válido conforme a la Circular SENA 0133 de 2013, que permite incluir costos de logística y transporte dentro del estudio de mercado, y a la Guía de Estudios del Sector de Colombia Compra Eficiente, la cual autoriza ajustar precios web para reflejar costos no incluidos como fletes y condiciones reales de entrega.
Para los precios consultados en Éxito Online (Proveedor 4), por tratarse de un proveedor local que no realiza entrega directa en el Centro de Formación, se adicionó un costo de $10.000 correspondiente al transporte en la ruta Empresa–Centro de Formación. Este ajuste es compatible con la Circular SENA 0133 de 2013, que permite incluir costos logísticos dentro del estudio de mercado, y con la Guía de Estudios del Sector de Colombia Compra Eficiente, la cual autoriza ajustar precios web para incorporar fletes y condiciones reales de entrega.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t>
  </si>
  <si>
    <r>
      <rPr>
        <b/>
        <sz val="10"/>
        <color theme="1"/>
        <rFont val="Calibri"/>
        <family val="2"/>
        <scheme val="minor"/>
      </rPr>
      <t xml:space="preserve">Proveedor 3. </t>
    </r>
    <r>
      <rPr>
        <sz val="10"/>
        <color theme="1"/>
        <rFont val="Calibri"/>
        <family val="2"/>
        <scheme val="minor"/>
      </rPr>
      <t xml:space="preserve">El precio base del producto fue obtenido mediante consulta en línea en el portal del proveedor Mundo Huevo, dado que a esta Empresa se encuentra con Sedes en Toda el ärea Metroplitana del Valle de Aburrá, el valor base  consultado en la web fue ajustado únicamente con costos verificables:transporte local, materiales de embalaje utilizados por el proveedor y un ajuste técnico del 4% por variación de precios del mercado
</t>
    </r>
    <r>
      <rPr>
        <b/>
        <sz val="10"/>
        <color theme="1"/>
        <rFont val="Calibri"/>
        <family val="2"/>
        <scheme val="minor"/>
      </rPr>
      <t>Proveedor 2</t>
    </r>
    <r>
      <rPr>
        <sz val="10"/>
        <color theme="1"/>
        <rFont val="Calibri"/>
        <family val="2"/>
        <scheme val="minor"/>
      </rPr>
      <t>. Precio base obtenido mediante consulta en línea, el cual fue ajustado con costos verificables desde la misma plataforma, materiales de embalaje utilizados por el proveedor y un ajuste técnico del 4% por variación de precios del mercado.
El incremento realizado no corresponde a un porcentaje arbitrario, sino a la suma de costos reales asociados a la entrega física, lo cual se ajusta a los principios de economía, responsabilidad y selección objetiva</t>
    </r>
  </si>
  <si>
    <t>Para los precios consultados en la página web de Mundo Huevo (Proveedor 3), por tratarse de un proveedor local que no ofrece servicio de entrega directa al Centro de Formación, se adicionó un costo de $10.000 correspondiente al transporte en la ruta Empresa–Centro de Formación.
Este ajuste se encuentra soportado en la Circular SENA 0133 de 2013, que permite incluir costos de logística y transporte dentro del estudio de mercado, y en la Guía para la Elaboración de Estudios del Sector de Colombia Compra Eficiente, la cual autoriza ajustar precios web para incorporar costos no incluidos como fletes y condiciones efectivas de entrega.
Para los precios consultados en Chocolate Lücker (Proveedor 9), ubicado en Bogotá, se adicionó un costo de $10.000 por transporte en la ruta Empresa–Centro de Formación. Aunque el proveedor ofrece envío gratuito para compras superiores a $250.000, dicho beneficio no aplica en todos los ítems consultados. En consecuencia, el ajuste por transporte está permitido conforme a la Circular SENA 0133 de 2013 y a la Guía de Estudios del Sector de Colombia Compra Eficiente, que habilitan incluir costos logísticos necesarios para la entrega real del bien.
El incremento aplicado no corresponde a un porcentaje arbitrario, sino a costos reales asociados a la entrega física y a la actualización del valor conforme a la variación del IPC anual reportada por el DANE (entre 5,10 % y 5,29 %). Este ajuste es compatible con la Circular SENA 0133 de 2013 y con la sección 5.2.5 de la Guía para la Elaboración de Estudios del Sector de Colombia Compra Eficiente</t>
  </si>
  <si>
    <t>ChocoLucker</t>
  </si>
  <si>
    <t>AMI Soluciones integrales</t>
  </si>
  <si>
    <t>Se toma el promedio cotizacion 1 y 2</t>
  </si>
  <si>
    <t>CTL COMPANY</t>
  </si>
  <si>
    <t xml:space="preserve">Se establece promedio cotización 1, 2 y el historico. </t>
  </si>
  <si>
    <t>Se establece promedio cotización 1 y  2.</t>
  </si>
  <si>
    <t>Se establece promedio cotización 1, 2 e historico 2025 + 5,1% IPC</t>
  </si>
  <si>
    <t>Valor unitario con iva establecido = $6.454</t>
  </si>
  <si>
    <t>Valor unitario con iva establecido = $10.440</t>
  </si>
  <si>
    <t>Valor unitario con iva establecido = $81.598</t>
  </si>
  <si>
    <t>Valor unitario con iva establecido = $125.524</t>
  </si>
  <si>
    <t>Valor unitario con iva establecido = $283.023</t>
  </si>
  <si>
    <t>Valor unitario con iva establecido = $29.130</t>
  </si>
  <si>
    <t>Valor unitario con iva establecido = $42.760</t>
  </si>
  <si>
    <t>Valor unitario con iva establecido = 9.350</t>
  </si>
  <si>
    <t xml:space="preserve">Se establece promedio cotización 1 y 2. </t>
  </si>
  <si>
    <t>Valor unitario con iva establecido = $49.531</t>
  </si>
  <si>
    <t>Valor unitario con iva establecido = $2.280.594</t>
  </si>
  <si>
    <t>Valor unitario con iva establecido = $357.312</t>
  </si>
  <si>
    <t>Valor unitario con iva establecido = $705.812</t>
  </si>
  <si>
    <t>Valor unitario con iva establecido = $663.741</t>
  </si>
  <si>
    <t>Valor unitario con iva establecido = $151.790</t>
  </si>
  <si>
    <t>Valor unitario con iva establecido = $174,200</t>
  </si>
  <si>
    <t>Valor unitario con iva establecido = $8,189</t>
  </si>
  <si>
    <t xml:space="preserve">Se establece promedio cotización 2 e historico 2025. </t>
  </si>
  <si>
    <t>Valor unitario con iva establecido = $857.005</t>
  </si>
  <si>
    <t>https://dondotacion.com/rodilleras-profesionales-para-trabajo-industrial/
Valor web + IVA 19%+ Flete estimado de 10000 +5 margen de actualización</t>
  </si>
  <si>
    <r>
      <t xml:space="preserve">Recarga de extintor a base de agua (Tipo A) – Capacidad nominal: 2.5 galones. Conforme a las especificaciones técnicas establecidas por la Norma IRAM 3525. Las características del equipo a recargar son las siguientes: Peso cargado: 12,55 kg; Altura: 620–650 mm; Ancho: 240 mm; Profundidad: 190 mm; Tiempo de descarga: 55 s; Alcance del chorro: 9–11 m; Rango de temperatura de operación: 5 °C a 50 °C; Presión de servicio: 0,8 MPa; Presión de ensayo: 2,0 MPa.
</t>
    </r>
    <r>
      <rPr>
        <b/>
        <sz val="11"/>
        <color rgb="FF000000"/>
        <rFont val="Calibri"/>
        <family val="2"/>
      </rPr>
      <t xml:space="preserve">Nota obligatoria para el proveedor: </t>
    </r>
    <r>
      <rPr>
        <sz val="11"/>
        <color rgb="FF000000"/>
        <rFont val="Calibri"/>
        <family val="2"/>
      </rPr>
      <t>El ítem se debe entregar con un certificado de recarga que incluya la siguiente información:
Fecha de la recarga
Nombre de la empresa que realiza el servicio
Cantidad total de extintores recargados
Tamaño (capacidad) de cada extintor
Cantidad de libras o galones correspondiente a cada unidad
Si el extintor se entrega lleno o vacío
Qué se realizó con el contenido del extintor en caso de que este fuese entregado lleno
El agente utilizado en la recarga y la cantidad exacta</t>
    </r>
  </si>
  <si>
    <t>Escáner CZUR ET18 Pro (18 MP)</t>
  </si>
  <si>
    <t>Jonan</t>
  </si>
  <si>
    <t>Nail Store</t>
  </si>
  <si>
    <t>Tienda Gioto</t>
  </si>
  <si>
    <t>Vinilos adhesivos inkjet</t>
  </si>
  <si>
    <t>Ideal para impresiones de alta calidad y proyectos creativos, este papel vinilo adhesivo transparente tamaño A4 es perfecto para impresoras inkjet. Su acabado resistente al agua y a los rayones lo hace ideal para etiquetas, manualidades y señalización.
ESPECIFICACIONES
- Tamaño: A4 (210 mm x 297 mm)
- Cantidad: 20 hojas
- Tipo: Vinilo adhesivo transparente para impresora inkjet
- Marca: Masafa
RECOMENDACIONES DE USO
Asegúrate de utilizar tintas compatibles con impresoras inkjet para obtener los mejores resultados. Ideal para proyectos escolares, etiquetas personalizadas y decoración.
VENTAJAS
- Resistente al agua y a los rayones
- Secado rápido
- Excelente reproducción de color
- Fácil de aplicar en superficies lisas
Garantía de fábrica: 1 días</t>
  </si>
  <si>
    <t>Dispapeles</t>
  </si>
  <si>
    <t>Belplasticos</t>
  </si>
  <si>
    <t>silverfalcon</t>
  </si>
  <si>
    <t xml:space="preserve">Panagrafo </t>
  </si>
  <si>
    <t>Dsitribucione MVM</t>
  </si>
  <si>
    <t>proquimicol</t>
  </si>
  <si>
    <r>
      <rPr>
        <sz val="8"/>
        <color rgb="FF000000"/>
        <rFont val="Calibri"/>
        <family val="2"/>
        <scheme val="minor"/>
      </rPr>
      <t xml:space="preserve">segueta de pelo (o sierra de pelo) es una sierra manual extremadamente fina y estrecha, diseñada para cortes de alta precisión, formas intrincadas y curvas cerradas en materiales blandos como metales preciosos (joyería), madera o plásticos  </t>
    </r>
    <r>
      <rPr>
        <b/>
        <sz val="8"/>
        <color rgb="FF000000"/>
        <rFont val="Calibri"/>
        <family val="2"/>
        <scheme val="minor"/>
      </rPr>
      <t>fabricados de acero al carbono (HCS) para materiales blandos, acero rápido (HSS) para metales, o materiales especiales como tungsteno o carborundo.</t>
    </r>
  </si>
  <si>
    <t xml:space="preserve">27111602
</t>
  </si>
  <si>
    <t>Para los precios consultados en páginas web, se evidenció que corresponden a valores de referencia que no incluyen necesariamente costos asociados a la contratación estatal, como transporte, gastos administrativos y demás cargas. En consecuencia, se realizó un análisis considerando estas variables, conforme a la Circular 133 de 2013 y la Guía de Colombia Compra Eficiente.</t>
  </si>
  <si>
    <t>Valor unitario con iva establecido = $7.113</t>
  </si>
  <si>
    <t>Información registrada por el cotizante</t>
  </si>
  <si>
    <t>Total ITEMS</t>
  </si>
  <si>
    <r>
      <rPr>
        <b/>
        <sz val="8"/>
        <color rgb="FF000000"/>
        <rFont val="Calibri"/>
        <family val="2"/>
      </rPr>
      <t xml:space="preserve">REQUIERE MUESTRA
</t>
    </r>
    <r>
      <rPr>
        <sz val="8"/>
        <color rgb="FF000000"/>
        <rFont val="Calibri"/>
        <family val="2"/>
      </rPr>
      <t xml:space="preserve">Cuero de curtición mixta 
Calibre: 12/14
Curtido: al cromo y mixto
Recurtido: Sintéticos y vegetales
Colores: metalizados
Flor: plena flor y corregida
Acabado: Piel parcial folia
Placa: Lisa y poro ondula
Brillo: Alto brillo
Tacto: Sedoso
Usos: Calzado y marroquineria
Colores: 
Bronce: 3 hojas
Fusil: 3 hojas
Oro italiano: 3 hojas
</t>
    </r>
    <r>
      <rPr>
        <b/>
        <sz val="8"/>
        <color rgb="FF000000"/>
        <rFont val="Calibri"/>
        <family val="2"/>
      </rPr>
      <t>REQUIERE MUESTRA</t>
    </r>
  </si>
  <si>
    <t>Se define el valor promedio como la mejor alternativa de precio total. .</t>
  </si>
  <si>
    <r>
      <rPr>
        <b/>
        <sz val="8"/>
        <color rgb="FF000000"/>
        <rFont val="Calibri"/>
        <family val="2"/>
      </rPr>
      <t xml:space="preserve">REQUIERE MUESTRA
</t>
    </r>
    <r>
      <rPr>
        <sz val="8"/>
        <color rgb="FF000000"/>
        <rFont val="Calibri"/>
        <family val="2"/>
      </rPr>
      <t xml:space="preserve">Cuero de curtición mixta 
Calibre: 12/14
Curtido: al cromo y mixto
Recurtido: Sintéticos y vegetales
Colores: tierras segun anilinas
Flor: plena flor y corregida
Acabado: ceras fundidas
Placa: Lisa y poro
Brillo: mate
Tacto: Sedoso
Usos: Calzado y marroquineria
</t>
    </r>
    <r>
      <rPr>
        <b/>
        <sz val="8"/>
        <color rgb="FF000000"/>
        <rFont val="Calibri"/>
        <family val="2"/>
      </rPr>
      <t>REQUIERE MUESTRA</t>
    </r>
  </si>
  <si>
    <r>
      <rPr>
        <b/>
        <sz val="8"/>
        <color rgb="FF000000"/>
        <rFont val="Calibri"/>
        <family val="2"/>
      </rPr>
      <t xml:space="preserve">REQUIERE MUESTRA
</t>
    </r>
    <r>
      <rPr>
        <sz val="8"/>
        <color rgb="FF000000"/>
        <rFont val="Calibri"/>
        <family val="2"/>
      </rPr>
      <t xml:space="preserve">Piel de cerdo curtida al cromo, atravesada. Material utilizado para forro. Textura afelpada, las cerdas (pelos del animal) atraviesan su piel y dejan unos pequeños orificios muy visibles en el dorso. Espesor 0,6mm a 0,8mm. Tamaño 110 / 200 dm2
</t>
    </r>
    <r>
      <rPr>
        <b/>
        <sz val="8"/>
        <color rgb="FF000000"/>
        <rFont val="Calibri"/>
        <family val="2"/>
      </rPr>
      <t>REQUIERE MUESTRA</t>
    </r>
  </si>
  <si>
    <r>
      <rPr>
        <b/>
        <sz val="8"/>
        <color rgb="FF000000"/>
        <rFont val="Calibri"/>
        <family val="2"/>
        <scheme val="minor"/>
      </rPr>
      <t xml:space="preserve">REQUIERE MUESTRA
</t>
    </r>
    <r>
      <rPr>
        <sz val="8"/>
        <color rgb="FF000000"/>
        <rFont val="Calibri"/>
        <family val="2"/>
        <scheme val="minor"/>
      </rPr>
      <t xml:space="preserve">Piel de origen vacuno, curtición mineral, acabado anilina, teñido superficial, plana flor. Presentación: vaqueta (dm2). Toque liso, sin brillo y calidad media. Calibre 0,8mm a 10mm.
Calibre: 04/05
Curtido: al cromo y mixto
Recurtido: Sintéticos y vegetales
Colores_:hoja seca, beige, nergra
Flor: plena flor
Acabado: Natural sin acabado
Placa: N/A
Brillo: N/A
Tacto: Natural
Usos: Calzado y marroquineria
Colores: 
Negro: 7 hojas
Hoja seca: 7 hojas
Beige: 7 hojas
</t>
    </r>
    <r>
      <rPr>
        <b/>
        <sz val="8"/>
        <color rgb="FF000000"/>
        <rFont val="Calibri"/>
        <family val="2"/>
        <scheme val="minor"/>
      </rPr>
      <t>REQUIERE MUESTRA</t>
    </r>
  </si>
  <si>
    <r>
      <rPr>
        <b/>
        <sz val="8"/>
        <color rgb="FF000000"/>
        <rFont val="Calibri"/>
        <family val="2"/>
        <scheme val="minor"/>
      </rPr>
      <t xml:space="preserve">REQUIERE MUESTRA
</t>
    </r>
    <r>
      <rPr>
        <sz val="8"/>
        <color rgb="FF000000"/>
        <rFont val="Calibri"/>
        <family val="2"/>
        <scheme val="minor"/>
      </rPr>
      <t xml:space="preserve">Cuero de curtición mixta 
Calibre: 12/14
Curtido: al cromo y mixto
Recurtido: Sintéticos y vegetales
Colores: metalizados
Flor: plena flor y corregida
Acabado: Piel parcial folia
Placa: Lisa y poro ondula
Brillo: Alto brillo
Tacto: Sedoso
Usos: Calzado y marroquineria
Colores: 
Negro: 6 hojas
Canela: 6 hojas
Fiumo:6 hojas
Turquesa: 6 hojas
Borgoña: 6 hojas
</t>
    </r>
    <r>
      <rPr>
        <b/>
        <sz val="8"/>
        <color rgb="FF000000"/>
        <rFont val="Calibri"/>
        <family val="2"/>
        <scheme val="minor"/>
      </rPr>
      <t>REQUIERE MUESTRA</t>
    </r>
  </si>
  <si>
    <r>
      <rPr>
        <b/>
        <sz val="8"/>
        <color rgb="FF000000"/>
        <rFont val="Calibri"/>
        <family val="2"/>
        <scheme val="minor"/>
      </rPr>
      <t xml:space="preserve">REQUIERE MUESTRA
</t>
    </r>
    <r>
      <rPr>
        <sz val="8"/>
        <color rgb="FF000000"/>
        <rFont val="Calibri"/>
        <family val="2"/>
        <scheme val="minor"/>
      </rPr>
      <t xml:space="preserve">Cuero vacuno curtición al cromo y mixta
calibre: 12-14
Curtido: cromo y mixta 
Recurtido: Sintéticos y vegetales
Acabado: Pigmentado
Placa: Arizona
Brillo: Alto brillo
Tacto: sedoso
Uso: calzado y marroquinería
Colores:
Negro: paquete
Rojo: paquete
Metal oro: paquete
Miel caña: paquete
Cacao: paquete
Rino: paquete
Sabia: paquete
Anis: paquete
Limoncello: paquete
Azul profundo: paquete
</t>
    </r>
    <r>
      <rPr>
        <b/>
        <sz val="8"/>
        <color rgb="FF000000"/>
        <rFont val="Calibri"/>
        <family val="2"/>
        <scheme val="minor"/>
      </rPr>
      <t>REQUIERE MUESTRA</t>
    </r>
  </si>
  <si>
    <r>
      <rPr>
        <b/>
        <sz val="8"/>
        <color rgb="FF000000"/>
        <rFont val="Calibri"/>
        <family val="2"/>
        <scheme val="minor"/>
      </rPr>
      <t xml:space="preserve">REQUIERE MUESTRA
</t>
    </r>
    <r>
      <rPr>
        <sz val="8"/>
        <color rgb="FF000000"/>
        <rFont val="Calibri"/>
        <family val="2"/>
        <scheme val="minor"/>
      </rPr>
      <t xml:space="preserve">Cuero vacuno de curticion al cromo y mixta
Calibre: 12/14
Curtido: al cromo y mixto
Recurtido: Sintéticos y vegetales
Colores: Planos
Flor: plena flor
Acabado: Pigmentado y lacas N/A, N/C
Placa: Medusa
Brillo: Alto brillo
Tacto: Sedoso
Usos: Calzado y marroquineria
Colores:
Negro: 3 hojas
Pardo: 3 hojas
Limoncello: 3 hojas
Rojo: 3 hojas
Miel caña: 3 hojas
Azul profundo: 3 hojas
</t>
    </r>
    <r>
      <rPr>
        <b/>
        <sz val="8"/>
        <color rgb="FF000000"/>
        <rFont val="Calibri"/>
        <family val="2"/>
        <scheme val="minor"/>
      </rPr>
      <t xml:space="preserve">REQUIERE MUESTRA
</t>
    </r>
  </si>
  <si>
    <t xml:space="preserve">Producto de alta concentración para para el acabado de bordes de cuero o aglomerados con variedad de colores disponibles. </t>
  </si>
  <si>
    <t>Peleteria la manuela</t>
  </si>
  <si>
    <t>Mil herrajes</t>
  </si>
  <si>
    <r>
      <rPr>
        <sz val="8"/>
        <color rgb="FF000000"/>
        <rFont val="Calibri"/>
        <family val="2"/>
        <scheme val="minor"/>
      </rPr>
      <t xml:space="preserve">Cuchillas de acero, tijeras puntiagudas extra grandes de acero al manganeso. súper afiladas para cortar cuero liviano u otro material. Cuerpo completo en acero inoxidable. Las asas son extra grandes para mayor comodidad. Tamaño: Grande. 
</t>
    </r>
    <r>
      <rPr>
        <b/>
        <sz val="8"/>
        <color rgb="FF000000"/>
        <rFont val="Calibri"/>
        <family val="2"/>
        <scheme val="minor"/>
      </rPr>
      <t xml:space="preserve">Material: Acero al manganeso
</t>
    </r>
    <r>
      <rPr>
        <sz val="8"/>
        <color rgb="FF000000"/>
        <rFont val="Calibri"/>
        <family val="2"/>
        <scheme val="minor"/>
      </rPr>
      <t>Medidas: alto 19 cm ancho 10 cm</t>
    </r>
  </si>
  <si>
    <t>Sacabocados de golpe (también conocidos como perforadores huecos). Son herramientas de corte esenciales en marroquinería para realizar agujeros limpios y precisos de forma manual.
Cuerpo Cilíndrico: Están fabricados en acero endurecido o acero al carbono para soportar los impactos repetidos de un mazo.
Boca de Expulsión Lateral: Todos presentan una apertura u "ojal" en un costado del cilindro. Su función es permitir que los residuos de cuero (los pequeños círculos sobrantes) salgan de la herramienta y no se obstruya el corte.
Material: Acero y muy afilados
Medidas:
 #10: 4 unidades
#11: 4 unidades
#12: 4 unidades
#13: 4 unidades
#14: 4 unidades
#15: 4 unidades</t>
  </si>
  <si>
    <t>U</t>
  </si>
  <si>
    <t>Escuela de artes santo domingo</t>
  </si>
  <si>
    <t>Peleteria el cordero</t>
  </si>
  <si>
    <t>Cremallera de polyestrer o Nylon, Compuesto por un solo filamento, forma dientes en espiral flexibles y ajustables  cosidos a una cinta de poliéster. Un solo monofilamento,  Material: poliéster + textil
retardante al fuego, impermeable e hidrorepelente
Color: Negro, cafe, verde militar.</t>
  </si>
  <si>
    <t>Pequeños herrajes metálicos que se colocan en la base (el "piso") de un bolso o maletín. su forma es conica (hembra) y el macho es un tornillo.
Material: Material: Aleación de zinc
Medidas: 
Diámetro de la base: 10 mm a 12 mm.
Altura (qué tanto eleva el bolso): 6 mm a 8 mm.
Largo de las patas (si es de broche): Generalmente entre 12 mm y 15 mm para atravesar el cuero y el refuerzo.
Color:
Oro zamak
Niquel Zamak</t>
  </si>
  <si>
    <t xml:space="preserve">Pirigallo - Herraje elaborado en zamak, que es es una aleación de zinc con aluminio, magnesio y cobre, de ahi su nombre que corresponde a las iniciales de sus componentes. Tiene dureza, alta resistencia a la tracción, es rigido, es inoxidables, se asemeja al acero, no se ensucia tanto como la plata. utilizado como accesorios para la fabricacion de productos de cuero y piel.
 La Cabeza (Macho): Es la pieza superior con forma de "hongo" o bola. Tiene un cuello más delgado que permite que una correa con un ojal (o perforación tipo cerradura) se enganche y quede sujeta.
La Base (Tornillo): Es la pieza plana que se introduce por la parte posterior del cuero. Tiene una ranura (generalmente para destornillador de pala) que permite apretarla contra la cabeza para fijar el herraje firmemente al material.-
Acabado: Oro, niquel y pavon
 Material:zamack 
 Tamaño: Mediano 7* 6 mm
Diámetro de Cabeza: 6 mm - 7 mm
Altura del Poste: 6 mm - 8 mm
Diámetro de Base: 8 mm - 9 mm
</t>
  </si>
  <si>
    <t>Preservación del filo: Al ser un material más blando que la madera o el plástico duro, las cuchillas de tus herramientas (cúter rotatorio, bisturí) duran mucho más tiempo afiladas.
Antideslizante: Su textura ayuda a que el material que estás cortando no se deslice, lo que aumenta la seguridad y la precisión.
Plantillas de Círculos/Óvalos: En los laterales (izquierda y derecha) hay una serie de guías circulares y elípticas de diferentes diámetros. Sirven para medir objetos redondos o para usarlas como referencia al dibujar o cortar curvas.</t>
  </si>
  <si>
    <r>
      <rPr>
        <sz val="8"/>
        <color rgb="FF000000"/>
        <rFont val="Calibri"/>
        <family val="2"/>
        <scheme val="minor"/>
      </rPr>
      <t xml:space="preserve">Pintura de base agua, diseñada para cuero, vinilo y materiales similares, ideal para personalizar tenis (sneakers) y artículos de piel. Es altamente flexible, resistente al agua, no se agrieta ni se pela. Ofrece una alta capacidad de cubrimiento y durabilidad, secando con un acabado mate (Flat White) o satinado.
Especificaciones Técnicas Principales:
Tipo de pintura: Acrílica base agua.
Color: Blanco (White) o Blanco Plano (Flat White - acabado mate).
Superficies: Cuero, piel, vinilo, malla (con aditivos).
Acabado: Satinado (estándar) o Mate (Flat).
Características: No tóxica, resistente al agua, resistente a grietas y rayones.
Aplicación: Se puede usar pincel, esponja o aerógrafo (se recomienda diluir con 2-Thin para este último).
Tiempo de secado: Seca al tacto en 5-15 minutos; cura totalmente en 24 horas.
Compatibilidad: Se puede mezclar con aditivos Angelus (2-Soft para telas, 2-Hard para plásticos).
"Pintura para pintar cuero
Tipo de pintura: Specialty
</t>
    </r>
    <r>
      <rPr>
        <b/>
        <sz val="8"/>
        <color rgb="FF000000"/>
        <rFont val="Calibri"/>
        <family val="2"/>
        <scheme val="minor"/>
      </rPr>
      <t xml:space="preserve">Color : Blanco
</t>
    </r>
    <r>
      <rPr>
        <sz val="8"/>
        <color rgb="FF000000"/>
        <rFont val="Calibri"/>
        <family val="2"/>
        <scheme val="minor"/>
      </rPr>
      <t>Presentacion:4  Fl Oz/ 118 ml
Características especiales: Pintura para cuero, ideal para zapatos, chaquetas, bolsos, costuras.
Tipo de acabado        Semi-Gloss
Información del empaque: Botella
Talla 1 Fl Oz (Pack of 12)
Forma del artículo: Liquid
No es tóxica
Base de agua"</t>
    </r>
  </si>
  <si>
    <t>charismaleathertools</t>
  </si>
  <si>
    <r>
      <rPr>
        <b/>
        <sz val="8"/>
        <color rgb="FF000000"/>
        <rFont val="Calibri"/>
        <family val="2"/>
        <scheme val="minor"/>
      </rPr>
      <t xml:space="preserve">REQUIERE MUESTRA
</t>
    </r>
    <r>
      <rPr>
        <sz val="8"/>
        <color rgb="FF000000"/>
        <rFont val="Calibri"/>
        <family val="2"/>
        <scheme val="minor"/>
      </rPr>
      <t xml:space="preserve">Insumo diseñado para equilibrar la estética natural con la resistencia industrial. A diferencia de las reatas 100% sintéticas, esta combinación de fibras ofrece un tacto más orgánico y un diseño gráfico integrado.
Construcción y Composición Tridimensional
Composición de Base: Mezcla de Algodón y Poliéster Spun. El Spun es un tipo de hilo de poliéster que imita la textura y el acabado mate del algodón, pero con la ventaja de no encogerse y ser mucho más resistente al desgaste.
Hilos de Contraste (Nylon): Las líneas verticales (azules en el centro y rojas en los orillos) están tejidas con Nylon. El uso de nylon en estas zonas no solo es decorativo, sino que refuerza los bordes y el cuerpo de la cinta contra la fricción de los herrajes.
Tipo de Tejido: Tejido de calada con estructura de "costilla" o estrías longitudinales. Esta construcción permite que la reata sea gruesa y acolchada al tacto sin perder estabilidad dimensional.
Atributos Estéticos y Sensoriales
Color de Fondo: Crudo o Off-white natural. Al tener un alto contenido de fibra con apariencia de algodón, proyecta una estética artesanal o "eco-friendly".
Diseño: Rayado diplomático invertido con pespuntes laterales en rojo. El contraste del azul marino y el rojo sobre el fondo crudo es un diseño clásico tipo "náutico" o preppy.
Tacto: Es una reata mucho más suave y "cálida" que las de nylon puro. No es resbaladiza, lo que garantiza que los nudos o ajustes manuales se mantengan firmes.
Especificaciones:
Ancho: 50±0.5
Calibre:1.6 ±0.2
Peso: N/A
Elongación: 41.6±2.0
Urdimbre: 
Cantidad: 170 hilos algodón 10/2
                         4 hilos pol spun 10/3
                          10 hilo pol spun 10/2
Trama:
Cantidad: 1 hilo nylon 940/140
</t>
    </r>
    <r>
      <rPr>
        <b/>
        <sz val="8"/>
        <color rgb="FF000000"/>
        <rFont val="Calibri"/>
        <family val="2"/>
        <scheme val="minor"/>
      </rPr>
      <t xml:space="preserve">REQUIERE MUESTRA
</t>
    </r>
  </si>
  <si>
    <r>
      <rPr>
        <b/>
        <sz val="8"/>
        <color rgb="FF000000"/>
        <rFont val="Calibri"/>
        <family val="2"/>
        <scheme val="minor"/>
      </rPr>
      <t xml:space="preserve">REQUIERE MUESTRA
</t>
    </r>
    <r>
      <rPr>
        <sz val="8"/>
        <color rgb="FF000000"/>
        <rFont val="Calibri"/>
        <family val="2"/>
        <scheme val="minor"/>
      </rPr>
      <t xml:space="preserve">De alta gama, que presenta características técnicas superiores en comparación con las reatas estándar de polipropileno.
Tipo de Tejido: Tejido de calada con ligamento de sarga reforzada. Se observa un patrón de espiga o diagonal muy fino que le otorga una estructura más cerrada y compacta.
Composición: 100% Nylon (Poliamida). Este material se caracteriza por tener un brillo sutil y una mano mucho más suave que el poliéster, lo que lo hace ideal para productos que están en contacto directo con el cuerpo.
Medida Nominal  ancho de 19 mm, una medida estándar para el sector de seguridad y marroquinería técnica.
Especificaciones:
Ancho: 19±1.0
Calibre:1.6 ±0.2
Peso: 20.20±1
Elongación: 18%+3%
Urdimbre: 
Cantidad: 92 nylon 1400/210
Trama:
Cantidad: 1 hilo nylon 1400/210
Cantidad: Rollo x 50 mts
Color: Plata
</t>
    </r>
    <r>
      <rPr>
        <b/>
        <sz val="8"/>
        <color rgb="FF000000"/>
        <rFont val="Calibri"/>
        <family val="2"/>
        <scheme val="minor"/>
      </rPr>
      <t>REQUIERE MUESTRA</t>
    </r>
  </si>
  <si>
    <t>Mil herrajes Colombia</t>
  </si>
  <si>
    <r>
      <rPr>
        <b/>
        <sz val="8"/>
        <color rgb="FF000000"/>
        <rFont val="Calibri"/>
        <family val="2"/>
        <scheme val="minor"/>
      </rPr>
      <t xml:space="preserve">REQUIERE MUESTRA
</t>
    </r>
    <r>
      <rPr>
        <sz val="8"/>
        <color rgb="FF000000"/>
        <rFont val="Calibri"/>
        <family val="2"/>
        <scheme val="minor"/>
      </rPr>
      <t xml:space="preserve">De alta gama, que presenta características técnicas superiores en comparación con las reatas estándar de polipropileno.
Tipo de Tejido: Tejido de calada con ligamento de sarga reforzada. Se observa un patrón de espiga o diagonal muy fino que le otorga una estructura más cerrada y compacta.
Composición: 100% Nylon (Poliamida). Este material se caracteriza por tener un brillo sutil y una mano mucho más suave que el poliéster, lo que lo hace ideal para productos que están en contacto directo con el cuerpo.
Medida Nominal  ancho de 25 mm, una medida estándar para el sector de seguridad y marroquinería técnica.
Especificaciones:
Ancho: 25±1.0
Calibre:1.6 ±0.2
Peso: 27.55±2
Elongación: 18%+3%
Urdimbre: 
Cantidad: 120 nylon 1400/210
Trama:
Cantidad: 1 hilo nylon 1400/210
Color: Gris plomo
Cantidad: Rollo x 50 mts
</t>
    </r>
    <r>
      <rPr>
        <b/>
        <sz val="8"/>
        <color rgb="FF000000"/>
        <rFont val="Calibri"/>
        <family val="2"/>
        <scheme val="minor"/>
      </rPr>
      <t>REQUIERE MUESTRA</t>
    </r>
  </si>
  <si>
    <r>
      <rPr>
        <b/>
        <sz val="8"/>
        <color rgb="FF000000"/>
        <rFont val="Calibri"/>
        <family val="2"/>
        <scheme val="minor"/>
      </rPr>
      <t xml:space="preserve">REQUIERE MUESTRA
</t>
    </r>
    <r>
      <rPr>
        <sz val="8"/>
        <color rgb="FF000000"/>
        <rFont val="Calibri"/>
        <family val="2"/>
        <scheme val="minor"/>
      </rPr>
      <t xml:space="preserve">Tipo de Tejido: Tejido de calada con ligamento de sarga reforzada. Se observa un patrón de espiga o diagonal muy fino que le otorga una estructura más cerrada y compacta.
Composición: 100% Nylon (Poliamida). Este material se caracteriza por tener un brillo sutil y una mano mucho más suave que el poliéster, lo que lo hace ideal para productos que están en contacto directo con el cuerpo.
Medida Nominal: ancho de 38 mm, una medida estándar para el sector de seguridad y marroquinería técnica.
Especificaciones:
Ancho: 38±1.0
Calibre:1.8 ±0.2
Peso: 49.300±3
Elongación: N/A
Urdimbre: 
Cantidad: 336 nylon 940/140
Trama:
Cantidad: 1 hilo nylon 220/48
Cantidad: Rollo x 50 mts
</t>
    </r>
    <r>
      <rPr>
        <b/>
        <sz val="8"/>
        <color rgb="FF000000"/>
        <rFont val="Calibri"/>
        <family val="2"/>
        <scheme val="minor"/>
      </rPr>
      <t>REQUIERE MUESTRA</t>
    </r>
  </si>
  <si>
    <r>
      <rPr>
        <b/>
        <sz val="8"/>
        <color rgb="FF000000"/>
        <rFont val="Calibri"/>
        <family val="2"/>
        <scheme val="minor"/>
      </rPr>
      <t xml:space="preserve">REQUIERE MUESTRA
</t>
    </r>
    <r>
      <rPr>
        <sz val="8"/>
        <color rgb="FF000000"/>
        <rFont val="Calibri"/>
        <family val="2"/>
        <scheme val="minor"/>
      </rPr>
      <t xml:space="preserve">Construcción y Composición
Tipo de Tejido: Tejido de trenzado tubular aplanado. A diferencia de las reatas convencionales, este cordón se construye entrelazando los hilos de forma diagonal, lo que le otorga una apariencia de "cadena" o trenza pequeña muy compacta.
Composición: 100% Nylon de alta tenacidad. El uso de nylon garantiza que, a pesar de su delgadez, el cordón tenga una resistencia a la tracción superior a la del algodón o el poliéster de fibra corta.
Medida Nominal:  Ancho de 10 mm (1 cm), lo que lo clasifica como un insumo de detalle o funcional ligero.
Atributos Estéticos
Color: Beige Arena / Kaki claro. 
Brillo: Presenta un brillo satinado característico de la poliamida (nylon), lo que le da un aspecto limpio y de mayor valor percibido frente a cordones mate de polipropileno.
Cuerpo: Es un material con "memoria", lo que significa que mantiene su forma plana y no se enrolla fácilmente sobre sí mismo bajo tensión moderada.
Especificaciones:
Ancho: 10±1.0
Calibre:3.6 ±0.3
Peso: 18.70±1.0
Elongación: N/A
Urdimbre: 
Cantidad: 32 hilos nylon 2100/0
Trama:
Cantidad: 1 hilo nylon 2100/2
Composición: Nylon 100%
Color: Beige
</t>
    </r>
    <r>
      <rPr>
        <b/>
        <sz val="8"/>
        <color rgb="FF000000"/>
        <rFont val="Calibri"/>
        <family val="2"/>
        <scheme val="minor"/>
      </rPr>
      <t xml:space="preserve">REQUIERE MUESTRA
</t>
    </r>
  </si>
  <si>
    <r>
      <rPr>
        <b/>
        <sz val="8"/>
        <color rgb="FF000000"/>
        <rFont val="Calibri"/>
        <family val="2"/>
        <scheme val="minor"/>
      </rPr>
      <t xml:space="preserve">REQUIERE MUESTRA
</t>
    </r>
    <r>
      <rPr>
        <sz val="8"/>
        <color rgb="FF000000"/>
        <rFont val="Calibri"/>
        <family val="2"/>
        <scheme val="minor"/>
      </rPr>
      <t xml:space="preserve">Insumo de alta especificación técnica, muy común en la industria de la moda y la marroquinería por su versatilidad.
Construcción y Composición
Tipo de Tejido: Tejido de punto por urdimbre o trenzado de alta densidad. Presenta una textura de "panal" o grano grueso que le otorga cuerpo y una estética robusta.
Composición: Mezcla de Poliéster de alta tenacidad con hilos de Elastómero (Látex o Spandex) recubiertos. El poliéster aporta la resistencia al roce y la solidez del color, mientras que el elastómero garantiza la recuperación elástica.
Ancho: 38mm (medida estándar para pretinas y cinturones).
Especificaciones:
Ancho: 38±0.5
Calibre:38±0.3
Peso: 67.57±3.0
Elongación: 18%+3%
Urdimbre: 
 Cantidad: 512 poliéster 150/2
                        46 hilos de caucho 40x40
 Trama:
Cantidad de hilos 3 poliéster 150/2
Composición: 
86.1% de poliéster 
13.9 elastómero
</t>
    </r>
    <r>
      <rPr>
        <b/>
        <sz val="8"/>
        <color rgb="FF000000"/>
        <rFont val="Calibri"/>
        <family val="2"/>
        <scheme val="minor"/>
      </rPr>
      <t>Colores: Choco turquesa 2 rollos x 40 mts
Azul oscuro con gris 2 rollos x 40 mt
Habano chocolate 2 rollos x 40 mt
Cantidad: 6 rollos x color</t>
    </r>
  </si>
  <si>
    <r>
      <rPr>
        <b/>
        <sz val="8"/>
        <color rgb="FF000000"/>
        <rFont val="Calibri"/>
        <family val="2"/>
        <scheme val="minor"/>
      </rPr>
      <t xml:space="preserve">REQUIERE MUESTRA
</t>
    </r>
    <r>
      <rPr>
        <sz val="8"/>
        <color rgb="FF000000"/>
        <rFont val="Calibri"/>
        <family val="2"/>
        <scheme val="minor"/>
      </rPr>
      <t xml:space="preserve">Tejido de punto 
Ligamento: sarga 3/1
Composición:  fibras de algodon 85%, filamentos de poliester 15% sin texturar
Acabado por color: teñido azul
Ancho del tejido: 1.8 
Peso: 535.71 gms x m2
Cantidad: 1 rollo x 50 mt
</t>
    </r>
    <r>
      <rPr>
        <b/>
        <sz val="8"/>
        <color rgb="FF000000"/>
        <rFont val="Calibri"/>
        <family val="2"/>
        <scheme val="minor"/>
      </rPr>
      <t>REQUIERE MUESTRA</t>
    </r>
  </si>
  <si>
    <t>Casatextil</t>
  </si>
  <si>
    <r>
      <rPr>
        <b/>
        <sz val="8"/>
        <color rgb="FF000000"/>
        <rFont val="Calibri"/>
        <family val="2"/>
        <scheme val="minor"/>
      </rPr>
      <t xml:space="preserve">REQUIERE MUESTRA
</t>
    </r>
    <r>
      <rPr>
        <sz val="8"/>
        <color rgb="FF000000"/>
        <rFont val="Calibri"/>
        <family val="2"/>
        <scheme val="minor"/>
      </rPr>
      <t xml:space="preserve">Esta es una muestra de esterilla técnica, un material compuesto que combina la estética de las fibras naturales con la estabilidad de los textiles industriales. Se trata de un material bi-capa: una cara externa de esterilla de poliéster fijada o laminada sobre una base de tejido de punto.
Cara Superior (Esterilla): Tejido de calada con ligamento de hilos gruesos de Poliéster. El uso de poliéster en lugar de fibras naturales  garantiza que el material no se pudra, no genere moho y mantenga un color uniforme.
Base de Refuerzo (Backing): Presenta un laminado en el revés con tejido de punto. Esta base es fundamental porque:
Evita que la esterilla se deshilache al ser cortada.
Aporta elasticidad mínima y estabilidad para que el material no se deforme durante la costura.
Proporciona una superficie suave que protege los artículos internos si se usa sin forro.
Tipo de tejido:  Esterilla fijada en tejido de punto
Ligamento: sarga 3/1
Composición:  Poliester 100%  soporte tejido no tejido
Acabado: Hilado por distintos colores
Ancho: 1.43
Peso: 357.5 gms x m2
Colores: Natural 
Beige
Cantidad: 1 rollo x 50 mt natural
 1 rollo x 50 mt beige
</t>
    </r>
    <r>
      <rPr>
        <b/>
        <sz val="8"/>
        <color rgb="FF000000"/>
        <rFont val="Calibri"/>
        <family val="2"/>
        <scheme val="minor"/>
      </rPr>
      <t>REQUIERE MUESTRA</t>
    </r>
  </si>
  <si>
    <r>
      <rPr>
        <b/>
        <sz val="8"/>
        <color rgb="FF000000"/>
        <rFont val="Calibri"/>
        <family val="2"/>
        <scheme val="minor"/>
      </rPr>
      <t xml:space="preserve">REQUIERE MUESTRA
</t>
    </r>
    <r>
      <rPr>
        <sz val="8"/>
        <color rgb="FF000000"/>
        <rFont val="Calibri"/>
        <family val="2"/>
        <scheme val="minor"/>
      </rPr>
      <t xml:space="preserve">Tejido plano de urdimbre y trama
Textil técnico decorativo de alta complejidad estructural, diseñado para simular fibras naturales con la durabilidad de los polímeros sintéticos.
Construcción y Composición Tridimensional
Tipo de Tejido: Tejido plano de calada con un ligamento jacquard geométrico (patrón de espiga o herringbone alternado).
Composición de Urdimbre: Filamentos continuos de Poliéster. Estos hilos proporcionan la base estructural y la resistencia a la tracción, evitando que el tejido se deforme o "ceda" con el peso.
Composición de Trama (Trama de Efecto): * Filamentos de Yute Sintético: Hilos de poliéster texturizados para imitar la irregularidad y el color del yute natural.
Monofilamentos sin Texturar: Estos hilos aportan rigidez y un brillo técnico sutil, mejorando la resistencia a la abrasión superficial.
Acabado: Tacto seco y rígido, con una estabilidad dimensional excelente para procesos de armado en marroquinería.
Composición:  60% poliester en filamentos continuos de yute y 40% monofilamentos sin texturar (100% poliester)
Acabado: Hilado por distintos colores
Grado de elaboración: Enriado
Ancho: 1.45
Peso: 300.80 gms x m2
Colores: Natural 
 1 rollo x 50 mt natural
</t>
    </r>
    <r>
      <rPr>
        <b/>
        <sz val="8"/>
        <color rgb="FF000000"/>
        <rFont val="Calibri"/>
        <family val="2"/>
        <scheme val="minor"/>
      </rPr>
      <t>REQUIERE MUESTRA</t>
    </r>
  </si>
  <si>
    <r>
      <rPr>
        <b/>
        <sz val="8"/>
        <color rgb="FF000000"/>
        <rFont val="Calibri"/>
        <family val="2"/>
        <scheme val="minor"/>
      </rPr>
      <t xml:space="preserve">REQUIERE MUESTRA
</t>
    </r>
    <r>
      <rPr>
        <sz val="8"/>
        <color rgb="FF000000"/>
        <rFont val="Calibri"/>
        <family val="2"/>
        <scheme val="minor"/>
      </rPr>
      <t xml:space="preserve">Tejido de punto
Ligamento: sarga 4x1
Composición: 95% de filamentos de algodon 5% poliester
Grado de elaboración: Crudo
Tipo de acabado: Aprestado
Ancho: 1.45
Grameje: 809.52 m2
Color: Natural
 1 rollo x 50 mt natural
</t>
    </r>
    <r>
      <rPr>
        <b/>
        <sz val="8"/>
        <color rgb="FF000000"/>
        <rFont val="Calibri"/>
        <family val="2"/>
        <scheme val="minor"/>
      </rPr>
      <t>REQUIERE MUESTRA</t>
    </r>
  </si>
  <si>
    <r>
      <rPr>
        <b/>
        <sz val="8"/>
        <color rgb="FF000000"/>
        <rFont val="Calibri"/>
        <family val="2"/>
        <scheme val="minor"/>
      </rPr>
      <t xml:space="preserve">REQUIERE MUESTRA
</t>
    </r>
    <r>
      <rPr>
        <sz val="8"/>
        <color rgb="FF000000"/>
        <rFont val="Calibri"/>
        <family val="2"/>
        <scheme val="minor"/>
      </rPr>
      <t xml:space="preserve">Esta muestra representa un textil compuesto de alta estructura, diseñado específicamente para aplicaciones que requieren un cuerpo rígido y una estética de tejido artesanal, pero con la estabilidad de los materiales industriales modernos. Se trata de un tejido plano de calada adherido (laminado) a una base de textil sin tejer (non-woven).
Construcción y Composición
Cara Superior (Tejido Plano): Se observa un ligamento de esterilla o tafetán reforzado con hilos de calibre grueso. La trama y la urdimbre están compuestas por fibras sintéticas (altamente probable poliéster o polipropileno) que imitan la textura de la lana o el lino grueso (slubby texture).
Base de Refuerzo (Respaldo): En el revés, el material está laminado térmicamente con una capa de textil sin tejer (tipo fieltro industrial o interlon de alto gramaje). Esta base cumple tres funciones críticas:
Anti-deshilachado: Bloquea los hilos de la trama superior para que no se suelten al realizar cortes curvos o rectos.
Cuerpo Estructural: Aporta una rigidez "armada", permitiendo que el material se sostenga por sí mismo sin necesidad de entretelas adicionales.
Suavidad de Armado: Facilita el pegado de forros y protege la cara interna del producto.
Ligamento: tejido superior combinado 
                         Textil inferior: textil sin tejer (fieltro)
Composición: tejido superior poliéster filamentos texturados
                               Textil inferior: Fibras de poliéster 100%
participación tejido superior: 73%
participación textil inferior: 27%
Ancho: 1.45
Peso: 379 m2
Colores: Pistacho
                   Beige
                    Azul
 Cantidad:1 rollo x 50 mt pistacho
1 rollo x 50 beige
1 rollo x 50 mt azul
</t>
    </r>
    <r>
      <rPr>
        <b/>
        <sz val="8"/>
        <color rgb="FF000000"/>
        <rFont val="Calibri"/>
        <family val="2"/>
        <scheme val="minor"/>
      </rPr>
      <t xml:space="preserve">REQUIERE MUESTRA
</t>
    </r>
  </si>
  <si>
    <t>Todotapicero</t>
  </si>
  <si>
    <t>bombay und</t>
  </si>
  <si>
    <t>TEMU</t>
  </si>
  <si>
    <t>COLA DE RATA DE ALGODON X 4MM CONO X100 MT</t>
  </si>
  <si>
    <t>casa de los cordones 150 METROS</t>
  </si>
  <si>
    <t>TEMU 5 METROS</t>
  </si>
  <si>
    <t>hilos herrajes cierres insumos  x 12</t>
  </si>
  <si>
    <t>mercado libre x 5 unid</t>
  </si>
  <si>
    <t>roquel manual de impacto para apertura de ojaletes en estrella (o flor). para ojaletes de 5 mm, 8 mm, 10 mm. Se utiliza para remachar ojaletes (ojadillos) abriendo la parte posterior en forma de "flor". Esto asegura que el ojalete quede firmemente sujeto al cuero sin riesgo de que se suelte y, además, aporta una estética superior en el revés de la pieza.
Material: Acero templado de alta dureza, resistente a impactos repetitivos de martillo o mazo.
Punta (Cabeza de trabajo): Posee un estriado radial (múltiples aristas afiladas en forma de estrella) que permite que el cuello del ojalete se abra uniformemente en pétalos hacia afuera.
Cuerpo: Mango cilíndrico liso, diseñado para ser golpeado en la parte superior.</t>
  </si>
  <si>
    <t xml:space="preserve">Piel vacuna o de becerro de alta calidad, lijada por el lado exterior (la flor) para crear una textura aterciopelada, suave al tacto y muy resistente calibre 14-16 se requiere muestra del proveedor </t>
  </si>
  <si>
    <t>El neolite de caucho es un material sintético de alta densidad, duradero y resistente, diseñado principalmente para suelas de zapatos, ofrece mayor resistencia a la abrasión y al agua. Está compuesto mayormente por caucho virgen (SBR), neopreno o caucho de poliuretano, siendo ligero, flexible, antideslizante y fácil de trabajar para la industria del calzado</t>
  </si>
  <si>
    <r>
      <rPr>
        <sz val="8"/>
        <color rgb="FF000000"/>
        <rFont val="Calibri"/>
        <family val="2"/>
        <scheme val="minor"/>
      </rPr>
      <t>El EVA (Etileno Acetato de Vinilo) es un material polimérico tipo espuma, ligero y flexible, ampliamente utilizado en suelas y plantillas de calzado (deportivo, casual, industrial) por su excelente amortiguación y absorción de impactos</t>
    </r>
    <r>
      <rPr>
        <sz val="12"/>
        <color rgb="FF0A0A0A"/>
        <rFont val="Calibri"/>
        <family val="2"/>
        <scheme val="minor"/>
      </rPr>
      <t xml:space="preserve">. </t>
    </r>
    <r>
      <rPr>
        <sz val="8"/>
        <color rgb="FF0A0A0A"/>
        <rFont val="Calibri"/>
        <family val="2"/>
        <scheme val="minor"/>
      </rPr>
      <t>Es resistente al agua, fácil de limpiar y proporciona una gran comodidad  en colores blanco , negro , gris , azul, amarillo ,rojo</t>
    </r>
  </si>
  <si>
    <t>Lona poliester tipo croydon para capelladas /   Lona Zapatera</t>
  </si>
  <si>
    <t>Suprim</t>
  </si>
  <si>
    <t xml:space="preserve">Copiel </t>
  </si>
  <si>
    <t>La espuma de polietileno (o espumado tipo multiform) de 5 mm de espesor es un material versátil de celda cerrada, utilizado principalmente para aislamiento térmico, impermeabilización y protección contra impactos. Con una densidad de 60 kg/m³, ofrece alta resistencia al tráfico, durabilidad y eficiencia en la absorción de impactos</t>
  </si>
  <si>
    <t>La espuma de polietileno (o espumado tipo multiform) de 10 mm de espesor es un material versátil de celda cerrada, utilizado principalmente para aislamiento térmico, impermeabilización y protección contra impactos. Con una densidad de 60 kg/m³, ofrece alta resistencia al tráfico, durabilidad y eficiencia en la absorción de impactos</t>
  </si>
  <si>
    <t>tejido sintético de alto rendimiento, fundamental en la fabricación de calzado deportivo, de seguridad y casual. Se caracteriza por su estructura abierta que permite la circulación del aire sin sacrificar la resistencia estructural. fabrica mediante procesos de tejido de punto (Knit), lo que le otorga una elasticidad intrínseca y una configuración de "panal" o celdas</t>
  </si>
  <si>
    <t>es un material forro compuesto por una base textil recubierta de poliuretano (PU) o PVC, diseñado para imitar la suavidad, flexibilidad y apariencia de la piel natural de badana (ovino/caprino)</t>
  </si>
  <si>
    <r>
      <rPr>
        <sz val="8"/>
        <color rgb="FF000000"/>
        <rFont val="Calibri"/>
        <family val="2"/>
      </rPr>
      <t>suelas de </t>
    </r>
    <r>
      <rPr>
        <b/>
        <sz val="8"/>
        <color rgb="FF000000"/>
        <rFont val="Calibri"/>
        <family val="2"/>
      </rPr>
      <t>PVC</t>
    </r>
    <r>
      <rPr>
        <sz val="8"/>
        <color rgb="FF000000"/>
        <rFont val="Calibri"/>
        <family val="2"/>
      </rPr>
      <t> (Policloruro de Vinilo) para sandalias con tacón de </t>
    </r>
    <r>
      <rPr>
        <b/>
        <sz val="8"/>
        <color rgb="FF000000"/>
        <rFont val="Calibri"/>
        <family val="2"/>
      </rPr>
      <t>1,5 cm</t>
    </r>
    <r>
      <rPr>
        <sz val="8"/>
        <color rgb="FF000000"/>
        <rFont val="Calibri"/>
        <family val="2"/>
      </rPr>
      <t>  tipo plataforma y kit con plantilla en odena y lambrilla. son una opción popular en la industria del calzado debido a su equilibrio entre costo y durabilidad. Este tipo de suela se caracteriza por su resistencia a la abrasión y su facilidad de procesamiento mediante inyección directa. colores cafe, beige y negro. se requiere muestra previa  por parte del proveedor</t>
    </r>
  </si>
  <si>
    <r>
      <rPr>
        <sz val="8"/>
        <color rgb="FF000000"/>
        <rFont val="Calibri"/>
        <family val="2"/>
      </rPr>
      <t xml:space="preserve">Horma  </t>
    </r>
    <r>
      <rPr>
        <b/>
        <sz val="8"/>
        <color rgb="FF000000"/>
        <rFont val="Calibri"/>
        <family val="2"/>
      </rPr>
      <t>voluminosa y robusta</t>
    </r>
    <r>
      <rPr>
        <sz val="8"/>
        <color rgb="FF000000"/>
        <rFont val="Calibri"/>
        <family val="2"/>
      </rPr>
      <t xml:space="preserve">. </t>
    </r>
    <r>
      <rPr>
        <b/>
        <sz val="8"/>
        <color rgb="FF000000"/>
        <rFont val="Calibri"/>
        <family val="2"/>
      </rPr>
      <t>Puntera (Recio de punta):</t>
    </r>
    <r>
      <rPr>
        <sz val="8"/>
        <color rgb="FF000000"/>
        <rFont val="Calibri"/>
        <family val="2"/>
      </rPr>
      <t xml:space="preserve"> Es ancha y redondeada. Está diseñada para dar libertad a los dedos y, habitualmente, para alojar una </t>
    </r>
    <r>
      <rPr>
        <b/>
        <sz val="8"/>
        <color rgb="FF000000"/>
        <rFont val="Calibri"/>
        <family val="2"/>
      </rPr>
      <t>puntera de seguridad</t>
    </r>
    <r>
      <rPr>
        <sz val="8"/>
        <color rgb="FF000000"/>
        <rFont val="Calibri"/>
        <family val="2"/>
      </rPr>
      <t xml:space="preserve"> (acero o composite) sin que esta roce el pie.</t>
    </r>
    <r>
      <rPr>
        <b/>
        <sz val="8"/>
        <color rgb="FF000000"/>
        <rFont val="Calibri"/>
        <family val="2"/>
      </rPr>
      <t>Empeine:</t>
    </r>
    <r>
      <rPr>
        <sz val="8"/>
        <color rgb="FF000000"/>
        <rFont val="Calibri"/>
        <family val="2"/>
      </rPr>
      <t xml:space="preserve"> Es pronunciado y alto. Esto permite que el pie entre con facilidad (calce) y deja espacio para lengüetas acolchadas y sistemas de cordones reforzados.</t>
    </r>
    <r>
      <rPr>
        <b/>
        <sz val="8"/>
        <color rgb="FF000000"/>
        <rFont val="Calibri"/>
        <family val="2"/>
      </rPr>
      <t>Talón:</t>
    </r>
    <r>
      <rPr>
        <sz val="8"/>
        <color rgb="FF000000"/>
        <rFont val="Calibri"/>
        <family val="2"/>
      </rPr>
      <t xml:space="preserve"> Posee una base ancha y un ángulo de inclinación moderado para garantizar estabilidad en terrenos irregulares. Generalmente fabricadas en </t>
    </r>
    <r>
      <rPr>
        <b/>
        <sz val="8"/>
        <color rgb="FF000000"/>
        <rFont val="Calibri"/>
        <family val="2"/>
      </rPr>
      <t>Polietileno de Alta Densidad (PEAD)</t>
    </r>
    <r>
      <rPr>
        <sz val="8"/>
        <color rgb="FF000000"/>
        <rFont val="Calibri"/>
        <family val="2"/>
      </rPr>
      <t xml:space="preserve">. Es un material plástico resistente a la humedad, al calor del montado y a los químicos del pegado. </t>
    </r>
    <r>
      <rPr>
        <b/>
        <sz val="8"/>
        <color rgb="FF000000"/>
        <rFont val="Calibri"/>
        <family val="2"/>
      </rPr>
      <t>Punto de Quiebre:</t>
    </r>
    <r>
      <rPr>
        <sz val="8"/>
        <color rgb="FF000000"/>
        <rFont val="Calibri"/>
        <family val="2"/>
      </rPr>
      <t xml:space="preserve"> El "quiebre" (la curvatura de la planta) es bajo, optimizado para suelas tipo </t>
    </r>
    <r>
      <rPr>
        <i/>
        <sz val="8"/>
        <color rgb="FF000000"/>
        <rFont val="Calibri"/>
        <family val="2"/>
      </rPr>
      <t>track</t>
    </r>
    <r>
      <rPr>
        <sz val="8"/>
        <color rgb="FF000000"/>
        <rFont val="Calibri"/>
        <family val="2"/>
      </rPr>
      <t xml:space="preserve"> o de tacos profundos que no requieren mucha flexibilidad inicial pero sí mucha protección. debe tener cuña  para facil desmonte, perforacion lateraly tubo superior SE REQUIERE MUESTRA para la curva 34,35,36,37,38.39,( 4 por par)</t>
    </r>
  </si>
  <si>
    <r>
      <rPr>
        <sz val="8"/>
        <color rgb="FF000000"/>
        <rFont val="Calibri"/>
        <family val="2"/>
      </rPr>
      <t xml:space="preserve">horma  </t>
    </r>
    <r>
      <rPr>
        <b/>
        <sz val="8"/>
        <color rgb="FF000000"/>
        <rFont val="Calibri"/>
        <family val="2"/>
      </rPr>
      <t>voluminosa y robusta</t>
    </r>
    <r>
      <rPr>
        <sz val="8"/>
        <color rgb="FF000000"/>
        <rFont val="Calibri"/>
        <family val="2"/>
      </rPr>
      <t xml:space="preserve">. </t>
    </r>
    <r>
      <rPr>
        <b/>
        <sz val="8"/>
        <color rgb="FF000000"/>
        <rFont val="Calibri"/>
        <family val="2"/>
      </rPr>
      <t>Puntera (Recio de punta):</t>
    </r>
    <r>
      <rPr>
        <sz val="8"/>
        <color rgb="FF000000"/>
        <rFont val="Calibri"/>
        <family val="2"/>
      </rPr>
      <t xml:space="preserve"> Es ancha y redondeada. Está diseñada para dar libertad a los dedos y, habitualmente, para alojar una </t>
    </r>
    <r>
      <rPr>
        <b/>
        <sz val="8"/>
        <color rgb="FF000000"/>
        <rFont val="Calibri"/>
        <family val="2"/>
      </rPr>
      <t>puntera de seguridad</t>
    </r>
    <r>
      <rPr>
        <sz val="8"/>
        <color rgb="FF000000"/>
        <rFont val="Calibri"/>
        <family val="2"/>
      </rPr>
      <t xml:space="preserve"> (acero o composite) sin que esta roce el pie.</t>
    </r>
    <r>
      <rPr>
        <b/>
        <sz val="8"/>
        <color rgb="FF000000"/>
        <rFont val="Calibri"/>
        <family val="2"/>
      </rPr>
      <t>Empeine:</t>
    </r>
    <r>
      <rPr>
        <sz val="8"/>
        <color rgb="FF000000"/>
        <rFont val="Calibri"/>
        <family val="2"/>
      </rPr>
      <t xml:space="preserve"> Es pronunciado y alto. Esto permite que el pie entre con facilidad (calce) y deja espacio para lengüetas acolchadas y sistemas de cordones reforzados.</t>
    </r>
    <r>
      <rPr>
        <b/>
        <sz val="8"/>
        <color rgb="FF000000"/>
        <rFont val="Calibri"/>
        <family val="2"/>
      </rPr>
      <t>Talón:</t>
    </r>
    <r>
      <rPr>
        <sz val="8"/>
        <color rgb="FF000000"/>
        <rFont val="Calibri"/>
        <family val="2"/>
      </rPr>
      <t xml:space="preserve"> Posee una base ancha y un ángulo de inclinación moderado para garantizar estabilidad en terrenos irregulares. Generalmente fabricadas en </t>
    </r>
    <r>
      <rPr>
        <b/>
        <sz val="8"/>
        <color rgb="FF000000"/>
        <rFont val="Calibri"/>
        <family val="2"/>
      </rPr>
      <t>Polietileno de Alta Densidad (PEAD)</t>
    </r>
    <r>
      <rPr>
        <sz val="8"/>
        <color rgb="FF000000"/>
        <rFont val="Calibri"/>
        <family val="2"/>
      </rPr>
      <t xml:space="preserve">. Es un material plástico resistente a la humedad, al calor del montado y a los químicos del pegado. </t>
    </r>
    <r>
      <rPr>
        <b/>
        <sz val="8"/>
        <color rgb="FF000000"/>
        <rFont val="Calibri"/>
        <family val="2"/>
      </rPr>
      <t>Punto de Quiebre:</t>
    </r>
    <r>
      <rPr>
        <sz val="8"/>
        <color rgb="FF000000"/>
        <rFont val="Calibri"/>
        <family val="2"/>
      </rPr>
      <t xml:space="preserve"> El "quiebre" (la curvatura de la planta) es bajo, optimizado para suelas tipo </t>
    </r>
    <r>
      <rPr>
        <i/>
        <sz val="8"/>
        <color rgb="FF000000"/>
        <rFont val="Calibri"/>
        <family val="2"/>
      </rPr>
      <t>track</t>
    </r>
    <r>
      <rPr>
        <sz val="8"/>
        <color rgb="FF000000"/>
        <rFont val="Calibri"/>
        <family val="2"/>
      </rPr>
      <t xml:space="preserve"> o de tacos profundos que no requieren mucha flexibilidad inicial pero sí mucha protección, se requiere con cuña para facilitar el desmonte con tubo superior y perforacion lateral . SE REQUIERE MUESTRA .38.39,40,41,42,43 (4 por par)</t>
    </r>
  </si>
  <si>
    <r>
      <rPr>
        <sz val="8"/>
        <color rgb="FF000000"/>
        <rFont val="Calibri"/>
        <family val="2"/>
      </rPr>
      <t xml:space="preserve">técnicamente conocida como sistema de cierre por contacto de </t>
    </r>
    <r>
      <rPr>
        <b/>
        <sz val="8"/>
        <color rgb="FF000000"/>
        <rFont val="Calibri"/>
        <family val="2"/>
      </rPr>
      <t>gancho y bucle</t>
    </r>
    <r>
      <rPr>
        <sz val="8"/>
        <color rgb="FF000000"/>
        <rFont val="Calibri"/>
        <family val="2"/>
      </rPr>
      <t>, es uno de los inventos más prácticos en la industria textil. En el calzado, sustituye o complementa a los cordones, ofreciendo una combinación de rapidez y funcionalidad. Él sistema se  compone de dos tiras de tejido (generalmente nylon o poliéster) que trabajan en conjunto.</t>
    </r>
  </si>
  <si>
    <t>hilos herrajes cierres insumos</t>
  </si>
  <si>
    <t>ECOPRENO AF91</t>
  </si>
  <si>
    <t xml:space="preserve">El ECOPRENO AF91 destaca como un adhesivo de uso profesional formulado con caucho de cloropreno y resinas acuosas. Su fórmula de alta concentración de sólidos, secado rápido y extraordinaria capacidad de adhesión lo convierte en la elección ideal para aplicaciones sobre cuero, destacando su eficacia en la industria del calzado y la marroquinería. Su versatilidad se extiende a diversos sustratos naturales y sintéticos gracias a su formulación adaptable.
Este producto no solo cumple con altos estándares de rendimiento, sino que también se distingue por su compromiso ambiental al ser libre de solventes y otros compuestos generadores de Compuestos Orgánicos Volátiles (VOC) que pueden afectar el medio ambiente. Específicamente diseñado para su aplicación con sistemas neumáticos, el ECOPRENO AF91 asegura procesos de alta productividad y eficiencia, garantizando resultados operacionales excepcionales. Además, su cuidadosa selección de componentes garantiza la seguridad y salud ocupacional de los usuarios.
Especificaciones:
Contenido de sólidos: 52.0 ± 3 % (en horno convectivo, 120°C, 40 min). Densidad: 4.0 ± 0.2 kg/gal (picnómetro gardco, 25°C).
Viscosidad: 400 ± 200 cP (Brookfield RV, 25°C, 20 RPM, Aguja 2). pH: 9.0 ± 1.0 (25°C).
Apariencia: Líquido lechoso en húmedo (visual).
Otros valores típicos:
Tiempo abierto: &gt; 72 horas (película de 4 mils de espesor, 25°C, 70% HR). Tiempo de secado: 10 -15 minutos (película de 4 mils de espesor, 25°C, 70% HR).
</t>
  </si>
  <si>
    <t>Distribuidora Galaxias</t>
  </si>
  <si>
    <t>ICVO S.A.S</t>
  </si>
  <si>
    <t>PEGANTE SBC AEROSOL</t>
  </si>
  <si>
    <t>El PEGANTE SBC AEROSOL es un adhesivo de contacto multipropósito de alta eficiencia, formulado a partir de cauchos de SIS-SBC, resinas y aditivos especializados de alta calidad. La formulación del producto ofrece un secado rápido, alto poder adhesivo, rápida fuerza inicial y un pegado instantáneo sobre diversos sustratos. Su atomización fina favorece la difusión del producto, asegurando una distribución homogénea que optimiza el rendimiento y contribuye a obtener uniones firmes y estables, ideal para uniones temporales, reposicionables o de mediano desempeño.
El envase presurizado está diseñado para ofrecer mayor precisión durante la aplicación y reducir el desperdicio, brindando una experiencia de uso ágil y controlada. Además, su formulación mantiene una alta estabilidad en almacenamiento y un comportamiento consistente bajo condiciones habituales de trabajo, consolidándolo como una opción versátil y confiable dentro de la línea de adhesivos en aerosol tipo SBC.
INFORMACIÓN TÉCNICA
Especificaciones:
Porcentaje de sólidos: 12-14(120°c, 20 min, Horno Convectivo). Densidad: 2,8-3,10 (25°C).
Viscosidad:12-16 seg (Copa Ford No4, método interno ICVO).
Apariencia: Líquido ámbar claro
Otros valores típicos:
Tiempo abierto: &lt;60m (25°C, 65% HR).
Tiempo secado: 2-5 min (dependiendo de las condiciones ambientales).</t>
  </si>
  <si>
    <t>LIMPIADOR DE ACABADOS</t>
  </si>
  <si>
    <t xml:space="preserve">El LIMPIADOR DE ACABADOS es una mezcla de solventes derivados de hidrocarburos, cuidadosamente seleccionados para cumplir con los requisitos de la industria del calzado y la marroquinería en lo que respecta al tratamiento y la limpieza de diversos sustratos, sin que esto afecte sus características estéticas.
INFORMACIÓN TÉCNICA
Especificaciones:
Densidad: 2,9 ± 0,1 kg/ga I (picnómetro, 25°C)
Apariencia: Líquido transparente o levemente amarilloso (visual). Olor: Característico a solventes alifáticos derivados del petróleo. Otros valores típicos:
Tiempo de secado: 10 min </t>
  </si>
  <si>
    <t>Garrafas x 3600</t>
  </si>
  <si>
    <t>375 ml</t>
  </si>
  <si>
    <t>ECOTANO 2K MANUAL</t>
  </si>
  <si>
    <t>El ECOTACNO 2K MANUAL representa la vanguardia en adhesivos de poliuretano gracias a su fórmula única, basada en na dispersión acuosa reactivable al calor Este innovador producto, con alto contenido de sólidos y alta viscosidad, se destaca por su excepcional capacidad de adherencia a una amplia gama de sustratos, gracas a su diseño que incorpora materiales nanotecnológicos y y polímeros especializados.
Diseñado para ofrecer un rendimiento superior, el ECOTACNO 2K MANUAL supera a los adhesivos de poliuretano tradicionales a base de solventes en dversas aplcaciones. Su fórmula vanzada garantiza una fuerte unión, proporcionando resultados confiables y duraderos.
Lo que hace al ECOTACNO 2K MANUAL aún más destacado es su compromiso con e medio ambiente y la seguridad del suario. ibre de sustancias tóxicas que puedan afectar a entorno o a la salud de las personas, es una opción segura y responsable Además, al ser lbre de Compuestos Orgánicos Volátiles (VOC), contribuye a reducr a huea ambiental sin comprometer su efcacia.
Con el ECOTACNO 2K MANUAL, no solo obtienes un adhesivo de alto rendimiento, sino que también te unes a un movimiento hacia prácticas más sostenibles y responsables.
INFORMACIÓNTÉCNICA
Especificaciones:
Contenido de sólidos: 52.0 ± 5 % (en horno convectivo, 120°C, 40 min) . Densidad: 4.0 ± 0.2 kg/gal (picnómetro metálico Gardco ®, 25°C). Viscosidad: 6000 ± 2000 cP (Brookfield RV, 25°C, 20 RPM, Aguja 4).
pH: 8.0 ± 1.0 (25°C).
Apariencia: Líquido lechoso en húmedo (visual).
Otros valores típicos:
Temperatura de Activación : 55 – 65 °C (método nterno CVO ).
Tiempo de secado: 8 -15 minutos (película de 4 mils de espesor, 25°C, 70% HR). Rendimiento: De 2 a 3 veces más que un adhesivo poliuretano base solvente. Tiempo para activar:
Sin vulcanizante: Hasta 8 días (dependiendo de las condiciones ambientales). Con vulcanizante: Hasta 8 horas (dependiendo de las condiciones ambientales).</t>
  </si>
  <si>
    <t>El valor unitario de los productos se determinó con base en el análisis de precios de referencia del mercado, considerando costos asociados a la operación como transporte y gastos administrativos. Así mismo, se tuvieron en cuenta precios históricos de contratos de materiales de formación de las vigencias 2024 y 2025, actualizados conforme a la variación del IPC para los años 2025 y 2026. El valor estimado corresponde al promedio de los precios analizados, garantizando una estimación objetiva y acorde con las condiciones del mercado.</t>
  </si>
  <si>
    <t>El valor unitario de los productos se determinó con base en el análisis de precios de la empresa consultada, considerando costos asociados a la operación como transporte y gastos administrativos. Así mismo, se tomó como referencia el precio promedio del producto, con el fin de garantizar una estimación objetiva y acorde con las condiciones del mercado.</t>
  </si>
  <si>
    <t xml:space="preserve">Recreolonas o lonas de juego  </t>
  </si>
  <si>
    <t>Elaboradas en tela semi impermeable de diferentes colores, en el centro agujero reforzado con cinta de falla, costuras reforzadas con doble puntada y en el borde externo de la recrealona reforzada con cinta de falla, de 8 cascos o segmentos 4mts de diámetro</t>
  </si>
  <si>
    <t xml:space="preserve">Mercado libre </t>
  </si>
  <si>
    <t>Para el presente ítem, el valor estimado se determinó con base en las cotizaciones recibidas, tomando los precios consultados en páginas web únicamente como referencia de mercado, conforme a lo establecido en la Circular 133 de 2013. Las variaciones identificadas responden a las condiciones propias de la contratación estatal, garantizando una estimación objetiva y acorde con la realidad del mercado.</t>
  </si>
  <si>
    <t>https://articulo.mercadolibre.com.co/MCO-3731978052-juego-grupal-interactivo-de-trabajo-en-equipo-hole-tarp-para-_JM#polycard_client%3Dsearch-desktop%26search_layout%3Dgrid%26position%3D26%26type%3Ditem%26tracking_id%3D0a1807be-83ae-4210-8399-a59d950a8125</t>
  </si>
  <si>
    <t xml:space="preserve">Simplemente fútbol </t>
  </si>
  <si>
    <t xml:space="preserve">Cronómetros </t>
  </si>
  <si>
    <t>CRONÓMETRO ELECTRÓNICO M6380, 80 memorias, forma de goma recubierta y ergonómica, fácil de leer, números de gran tamaño, tiempos parciales en línea superior. Recupera la vuelta más rápida, la vuelta más lenta y el promedio de cada vuelta.Luz de fondo con apagado automático para prolongar la duración de la batería, Bisel sobresaliente de pantalla que protege la cara del reloj indicador, de batería, botones de toque suave par a mejor precisión. Resistente al agua</t>
  </si>
  <si>
    <t>Sportfitness</t>
  </si>
  <si>
    <t>https://sportfitness.co/products/cronometro-deportivo-plus-sportfitness</t>
  </si>
  <si>
    <t xml:space="preserve">Mesa Ping Pong 18mm Profesional </t>
  </si>
  <si>
    <t xml:space="preserve">Es plegable. 
Tiene ruedas. 
Espesor de la mesa: 
1,8 cm  
Medidas:  
2,74 m de largo x 1,52 m de ancho 
76 cm de alto </t>
  </si>
  <si>
    <t>https://sportfitness.co/products/mesa-plegable-16mm-tenis-mesa?_pos=2&amp;_psq=mesa-de-ping&amp;_ss=e&amp;_v=1.0</t>
  </si>
  <si>
    <t>Adipómetro</t>
  </si>
  <si>
    <t xml:space="preserve">Para el presente ítem, el valor estimado se determinó con base en las cotizaciones recibidas, tomando los precios consultados en páginas web únicamente como referencia de mercado, conforme a lo establecido en la Circular 133 de 2013. Las variaciones identificadas responden a las condiciones propias de la contratación estatal, garantizando una estimación objetiva y acorde con la realidad del mercado.
</t>
  </si>
  <si>
    <t>https://www.mercadolibre.com.co/dispositivo-de-medicion-de-grasa-corporal-monitor-de-grasa/up/MCOU2411386713#polycard_client%3Dsearch-desktop%26search_layout%3Dgrid%26position%3D43%26type%3Dproduct%26tracking_id%3Dbe1c0b13-5ca3-46aa-aa02-7c12ec0e2484%26wid%3DMCO1453630353%26sid%3Dsearch</t>
  </si>
  <si>
    <t>Apuntador luz roja control remoto presentador</t>
  </si>
  <si>
    <t>Tipo de conexión: USB 
Batería  
Color Negro</t>
  </si>
  <si>
    <t>https://www.mercadolibre.com.co/apuntador-luz-roja-control-remoto-presentador-pro-slim/up/MCOU2985288735#polycard_client%3Dsearch-desktop%26search_layout%3Dgrid%26position%3D2%26type%3Dproduct%26tracking_id%3D79da9bc1-f182-4645-a7c7-09c7c67c955e%26wid%3DMCO1150477308%26sid%3Dsearch</t>
  </si>
  <si>
    <t>Los valores y costos de envío de del producto, se calculan y cotizan en la fecha de la solicitud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</si>
</sst>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_(* #,##0.00_);_(* \(#,##0.00\);_(* &quot;-&quot;??_);_(@_)"/>
    <numFmt numFmtId="165" formatCode="_-* #,##0.00\ &quot;€&quot;_-;\-* #,##0.00\ &quot;€&quot;_-;_-* &quot;-&quot;??\ &quot;€&quot;_-;_-@_-"/>
    <numFmt numFmtId="166" formatCode="0.0%"/>
    <numFmt numFmtId="167" formatCode="&quot;$&quot;#,##0.00"/>
    <numFmt numFmtId="168" formatCode="[$$-240A]\ #,##0.0;\-[$$-240A]\ #,##0.0"/>
    <numFmt numFmtId="169" formatCode="&quot;$&quot;#,##0.0"/>
    <numFmt numFmtId="170" formatCode="&quot;$&quot;\ #,##0"/>
    <numFmt numFmtId="171" formatCode="_-* #,##0.0_-;\-* #,##0.0_-;_-* &quot;-&quot;??_-;_-@_-"/>
    <numFmt numFmtId="172" formatCode="_(* #,##0.0_);_(* \(#,##0.0\);_(* &quot;-&quot;?_);_(@_)"/>
    <numFmt numFmtId="173" formatCode="[$$-240A]\ #,##0;\-[$$-240A]\ #,##0"/>
    <numFmt numFmtId="174" formatCode="&quot;$&quot;#,##0"/>
    <numFmt numFmtId="175" formatCode="[$$-240A]\ #,##0.00;\-[$$-240A]\ #,##0.00"/>
    <numFmt numFmtId="176" formatCode="&quot;$&quot;\ #,##0.0"/>
    <numFmt numFmtId="177" formatCode="&quot;$&quot;\ #,##0.00"/>
    <numFmt numFmtId="178" formatCode="_-[$$-240A]\ * #,##0.00_-;\-[$$-240A]\ * #,##0.00_-;_-[$$-240A]\ * &quot;-&quot;??_-;_-@_-"/>
    <numFmt numFmtId="179" formatCode="_-[$$-240A]\ * #,##0_-;\-[$$-240A]\ * #,##0_-;_-[$$-240A]\ * &quot;-&quot;??_-;_-@_-"/>
  </numFmts>
  <fonts count="81"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0"/>
      <name val="Arial"/>
      <family val="2"/>
    </font>
    <font>
      <sz val="11"/>
      <name val="Calibri"/>
      <family val="2"/>
    </font>
    <font>
      <sz val="11"/>
      <color theme="1"/>
      <name val="Calibri"/>
      <family val="2"/>
    </font>
    <font>
      <b/>
      <sz val="8"/>
      <color rgb="FFFF0000"/>
      <name val="Calibri"/>
      <family val="2"/>
    </font>
    <font>
      <u/>
      <sz val="11"/>
      <color theme="10"/>
      <name val="Calibri"/>
      <family val="2"/>
      <scheme val="minor"/>
    </font>
    <font>
      <b/>
      <i/>
      <sz val="8"/>
      <color theme="1"/>
      <name val="Calibri"/>
      <family val="2"/>
    </font>
    <font>
      <b/>
      <sz val="8"/>
      <color theme="1"/>
      <name val="Calibri"/>
      <family val="2"/>
    </font>
    <font>
      <b/>
      <sz val="8"/>
      <color rgb="FF000000"/>
      <name val="Calibri"/>
      <family val="2"/>
    </font>
    <font>
      <b/>
      <i/>
      <sz val="8"/>
      <color rgb="FFFF0000"/>
      <name val="Calibri"/>
      <family val="2"/>
    </font>
    <font>
      <b/>
      <sz val="8"/>
      <color rgb="FF000000"/>
      <name val="Calibri Light"/>
      <family val="2"/>
    </font>
    <font>
      <b/>
      <sz val="8"/>
      <color theme="1"/>
      <name val="Calibri"/>
      <family val="2"/>
      <scheme val="minor"/>
    </font>
    <font>
      <b/>
      <sz val="8"/>
      <color theme="0"/>
      <name val="Calibri"/>
      <family val="2"/>
      <scheme val="minor"/>
    </font>
    <font>
      <sz val="8"/>
      <color theme="1"/>
      <name val="Calibri"/>
      <family val="2"/>
    </font>
    <font>
      <sz val="8"/>
      <color theme="1"/>
      <name val="Calibri"/>
      <family val="2"/>
      <scheme val="minor"/>
    </font>
    <font>
      <sz val="8"/>
      <color rgb="FF000000"/>
      <name val="Calibri"/>
      <family val="2"/>
    </font>
    <font>
      <sz val="8"/>
      <color rgb="FF000000"/>
      <name val="Calibri"/>
      <family val="2"/>
      <scheme val="minor"/>
    </font>
    <font>
      <b/>
      <sz val="8"/>
      <color rgb="FF000000"/>
      <name val="Calibri"/>
      <family val="2"/>
      <scheme val="minor"/>
    </font>
    <font>
      <sz val="8"/>
      <color theme="1"/>
      <name val="Calibri"/>
      <family val="2"/>
      <scheme val="minor"/>
    </font>
    <font>
      <sz val="8"/>
      <color theme="1"/>
      <name val="Calibri"/>
      <family val="2"/>
      <charset val="1"/>
    </font>
    <font>
      <sz val="9"/>
      <color theme="1"/>
      <name val="Calibri"/>
      <family val="2"/>
      <scheme val="minor"/>
    </font>
    <font>
      <sz val="8"/>
      <color rgb="FF0A0A0A"/>
      <name val="Calibri"/>
      <family val="2"/>
      <scheme val="minor"/>
    </font>
    <font>
      <sz val="9"/>
      <color theme="1"/>
      <name val="Calibri"/>
      <family val="2"/>
      <scheme val="minor"/>
    </font>
    <font>
      <b/>
      <sz val="16"/>
      <color rgb="FFFFFF00"/>
      <name val="Calibri"/>
      <family val="2"/>
      <scheme val="minor"/>
    </font>
    <font>
      <b/>
      <i/>
      <sz val="12"/>
      <color theme="0"/>
      <name val="Calibri"/>
      <family val="2"/>
    </font>
    <font>
      <b/>
      <sz val="14"/>
      <name val="Calibri"/>
      <family val="2"/>
    </font>
    <font>
      <b/>
      <sz val="16"/>
      <color theme="0"/>
      <name val="Calibri"/>
      <family val="2"/>
    </font>
    <font>
      <b/>
      <sz val="12"/>
      <color rgb="FFFFFF00"/>
      <name val="Calibri"/>
      <family val="2"/>
      <scheme val="minor"/>
    </font>
    <font>
      <b/>
      <sz val="14"/>
      <color rgb="FFFFFF00"/>
      <name val="Calibri"/>
      <family val="2"/>
      <scheme val="minor"/>
    </font>
    <font>
      <b/>
      <sz val="11"/>
      <color rgb="FF000000"/>
      <name val="Calibri"/>
      <family val="2"/>
    </font>
    <font>
      <b/>
      <i/>
      <sz val="11"/>
      <color rgb="FFC00000"/>
      <name val="Calibri"/>
      <family val="2"/>
    </font>
    <font>
      <b/>
      <sz val="11"/>
      <color rgb="FF000000"/>
      <name val="Calibri"/>
      <family val="2"/>
    </font>
    <font>
      <b/>
      <sz val="11"/>
      <color rgb="FFC00000"/>
      <name val="Calibri"/>
      <family val="2"/>
    </font>
    <font>
      <b/>
      <i/>
      <sz val="8"/>
      <color rgb="FFC00000"/>
      <name val="Calibri"/>
      <family val="2"/>
    </font>
    <font>
      <b/>
      <sz val="11"/>
      <color theme="0"/>
      <name val="Calibri"/>
      <family val="2"/>
    </font>
    <font>
      <b/>
      <sz val="10"/>
      <color rgb="FF000000"/>
      <name val="Calibri Light"/>
      <family val="2"/>
    </font>
    <font>
      <b/>
      <sz val="11"/>
      <color theme="1"/>
      <name val="Calibri"/>
      <family val="2"/>
    </font>
    <font>
      <b/>
      <sz val="10"/>
      <color theme="1"/>
      <name val="Calibri"/>
      <family val="2"/>
      <scheme val="minor"/>
    </font>
    <font>
      <sz val="11"/>
      <color rgb="FF242424"/>
      <name val="Aptos Narrow"/>
      <family val="2"/>
    </font>
    <font>
      <sz val="11"/>
      <color rgb="FF000000"/>
      <name val="Calibri"/>
      <family val="2"/>
      <scheme val="minor"/>
    </font>
    <font>
      <sz val="10"/>
      <color theme="1"/>
      <name val="Calibri"/>
      <family val="2"/>
      <scheme val="minor"/>
    </font>
    <font>
      <sz val="11"/>
      <color theme="10"/>
      <name val="Calibri"/>
      <family val="2"/>
      <scheme val="minor"/>
    </font>
    <font>
      <sz val="11"/>
      <color rgb="FF000000"/>
      <name val="Calibri"/>
      <family val="2"/>
    </font>
    <font>
      <sz val="11"/>
      <color theme="1"/>
      <name val="Calibri"/>
      <family val="2"/>
    </font>
    <font>
      <sz val="11"/>
      <color rgb="FF000000"/>
      <name val="Calibri"/>
      <family val="2"/>
    </font>
    <font>
      <sz val="11"/>
      <color rgb="FF000000"/>
      <name val="Calibri"/>
      <family val="2"/>
      <scheme val="minor"/>
    </font>
    <font>
      <b/>
      <sz val="11"/>
      <color rgb="FF000000"/>
      <name val="Calibri"/>
      <family val="2"/>
      <scheme val="minor"/>
    </font>
    <font>
      <sz val="11"/>
      <color rgb="FFFF0000"/>
      <name val="Calibri"/>
      <family val="2"/>
    </font>
    <font>
      <u/>
      <sz val="11"/>
      <color rgb="FF0563C1"/>
      <name val="Calibri"/>
      <family val="2"/>
    </font>
    <font>
      <sz val="11"/>
      <color rgb="FF0563C1"/>
      <name val="Calibri"/>
      <family val="2"/>
    </font>
    <font>
      <sz val="10"/>
      <color rgb="FF000000"/>
      <name val="Calibri"/>
      <family val="2"/>
      <scheme val="minor"/>
    </font>
    <font>
      <b/>
      <sz val="11"/>
      <color theme="1"/>
      <name val="Calibri"/>
      <family val="2"/>
      <scheme val="minor"/>
    </font>
    <font>
      <sz val="11"/>
      <color rgb="FF0563C1"/>
      <name val="Calibri"/>
      <family val="2"/>
      <scheme val="minor"/>
    </font>
    <font>
      <sz val="11"/>
      <color rgb="FF0563C1"/>
      <name val="Calibri"/>
      <family val="2"/>
      <scheme val="minor"/>
    </font>
    <font>
      <u/>
      <sz val="11"/>
      <color rgb="FF0563C1"/>
      <name val="Calibri"/>
      <family val="2"/>
      <scheme val="minor"/>
    </font>
    <font>
      <sz val="10"/>
      <color rgb="FF000000"/>
      <name val="Arial"/>
      <family val="2"/>
    </font>
    <font>
      <sz val="11"/>
      <color indexed="8"/>
      <name val="Calibri"/>
      <family val="2"/>
    </font>
    <font>
      <sz val="10"/>
      <color rgb="FF000000"/>
      <name val="Arial"/>
      <family val="2"/>
    </font>
    <font>
      <sz val="10"/>
      <name val="Arial"/>
      <family val="2"/>
    </font>
    <font>
      <sz val="11"/>
      <name val="Calibri"/>
      <family val="2"/>
      <scheme val="minor"/>
    </font>
    <font>
      <sz val="10"/>
      <name val="Calibri"/>
      <family val="2"/>
      <scheme val="minor"/>
    </font>
    <font>
      <b/>
      <sz val="11"/>
      <name val="Calibri"/>
      <family val="2"/>
    </font>
    <font>
      <sz val="11"/>
      <name val="Calibri"/>
      <family val="2"/>
      <scheme val="minor"/>
    </font>
    <font>
      <b/>
      <sz val="11"/>
      <color rgb="FFFFFF00"/>
      <name val="Calibri"/>
      <family val="2"/>
    </font>
    <font>
      <b/>
      <i/>
      <sz val="11"/>
      <name val="Calibri"/>
      <family val="2"/>
    </font>
    <font>
      <b/>
      <i/>
      <sz val="11"/>
      <color rgb="FFFF0000"/>
      <name val="Calibri"/>
      <family val="2"/>
    </font>
    <font>
      <b/>
      <sz val="11"/>
      <color rgb="FFFF0000"/>
      <name val="Calibri"/>
      <family val="2"/>
    </font>
    <font>
      <sz val="8"/>
      <color rgb="FF000000"/>
      <name val="Calibri"/>
      <family val="2"/>
      <scheme val="minor"/>
    </font>
    <font>
      <b/>
      <sz val="8"/>
      <color rgb="FF000000"/>
      <name val="Calibri"/>
      <family val="2"/>
      <scheme val="minor"/>
    </font>
    <font>
      <sz val="9"/>
      <color rgb="FF000000"/>
      <name val="Calibri"/>
      <family val="2"/>
      <scheme val="minor"/>
    </font>
    <font>
      <sz val="12"/>
      <color theme="1"/>
      <name val="Calibri"/>
      <family val="2"/>
    </font>
    <font>
      <sz val="11"/>
      <color rgb="FF242424"/>
      <name val="Aptos Narrow"/>
      <family val="2"/>
    </font>
    <font>
      <sz val="8"/>
      <color rgb="FF555555"/>
      <name val="Calibri"/>
      <family val="2"/>
      <scheme val="minor"/>
    </font>
    <font>
      <sz val="12"/>
      <color rgb="FF0A0A0A"/>
      <name val="Calibri"/>
      <family val="2"/>
      <scheme val="minor"/>
    </font>
    <font>
      <b/>
      <sz val="11"/>
      <color rgb="FF0A0A0A"/>
      <name val="Calibri"/>
      <family val="2"/>
      <scheme val="minor"/>
    </font>
    <font>
      <i/>
      <sz val="8"/>
      <color rgb="FF000000"/>
      <name val="Calibri"/>
      <family val="2"/>
    </font>
    <font>
      <sz val="9"/>
      <color rgb="FF000000"/>
      <name val="Calibri"/>
      <family val="2"/>
    </font>
    <font>
      <sz val="10"/>
      <color rgb="FF000000"/>
      <name val="Calibri"/>
      <family val="2"/>
    </font>
  </fonts>
  <fills count="29">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7" tint="-0.249977111117893"/>
        <bgColor indexed="64"/>
      </patternFill>
    </fill>
    <fill>
      <patternFill patternType="solid">
        <fgColor theme="0" tint="-0.249977111117893"/>
        <bgColor indexed="64"/>
      </patternFill>
    </fill>
    <fill>
      <patternFill patternType="solid">
        <fgColor theme="0"/>
        <bgColor indexed="64"/>
      </patternFill>
    </fill>
    <fill>
      <patternFill patternType="solid">
        <fgColor theme="1"/>
        <bgColor indexed="64"/>
      </patternFill>
    </fill>
    <fill>
      <patternFill patternType="solid">
        <fgColor theme="7" tint="-0.499984740745262"/>
        <bgColor indexed="64"/>
      </patternFill>
    </fill>
    <fill>
      <patternFill patternType="solid">
        <fgColor theme="3" tint="0.39997558519241921"/>
        <bgColor indexed="64"/>
      </patternFill>
    </fill>
    <fill>
      <patternFill patternType="solid">
        <fgColor theme="4" tint="-0.499984740745262"/>
        <bgColor indexed="64"/>
      </patternFill>
    </fill>
    <fill>
      <patternFill patternType="solid">
        <fgColor rgb="FFD0CECE"/>
        <bgColor indexed="64"/>
      </patternFill>
    </fill>
    <fill>
      <patternFill patternType="solid">
        <fgColor rgb="FFA0BADC"/>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rgb="FF7030A0"/>
        <bgColor indexed="64"/>
      </patternFill>
    </fill>
    <fill>
      <patternFill patternType="solid">
        <fgColor rgb="FFFF0000"/>
        <bgColor indexed="64"/>
      </patternFill>
    </fill>
    <fill>
      <patternFill patternType="solid">
        <fgColor rgb="FF00B0F0"/>
        <bgColor indexed="64"/>
      </patternFill>
    </fill>
    <fill>
      <patternFill patternType="solid">
        <fgColor rgb="FFD9D9D9"/>
        <bgColor rgb="FF000000"/>
      </patternFill>
    </fill>
    <fill>
      <patternFill patternType="solid">
        <fgColor theme="7"/>
        <bgColor indexed="64"/>
      </patternFill>
    </fill>
  </fills>
  <borders count="10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top/>
      <bottom/>
      <diagonal/>
    </border>
    <border>
      <left/>
      <right style="thin">
        <color indexed="64"/>
      </right>
      <top/>
      <bottom/>
      <diagonal/>
    </border>
    <border>
      <left/>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medium">
        <color indexed="64"/>
      </left>
      <right style="thin">
        <color rgb="FF000000"/>
      </right>
      <top style="thin">
        <color rgb="FF000000"/>
      </top>
      <bottom/>
      <diagonal/>
    </border>
    <border>
      <left style="medium">
        <color indexed="64"/>
      </left>
      <right style="medium">
        <color indexed="64"/>
      </right>
      <top style="thin">
        <color rgb="FF000000"/>
      </top>
      <bottom/>
      <diagonal/>
    </border>
    <border>
      <left style="thin">
        <color rgb="FF000000"/>
      </left>
      <right style="medium">
        <color indexed="64"/>
      </right>
      <top style="thin">
        <color rgb="FF000000"/>
      </top>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style="thin">
        <color indexed="64"/>
      </right>
      <top style="thin">
        <color rgb="FF000000"/>
      </top>
      <bottom/>
      <diagonal/>
    </border>
    <border>
      <left style="thin">
        <color rgb="FF000000"/>
      </left>
      <right style="thin">
        <color indexed="64"/>
      </right>
      <top style="thin">
        <color indexed="64"/>
      </top>
      <bottom/>
      <diagonal/>
    </border>
    <border>
      <left style="thin">
        <color indexed="64"/>
      </left>
      <right style="thin">
        <color indexed="64"/>
      </right>
      <top/>
      <bottom style="thin">
        <color rgb="FF000000"/>
      </bottom>
      <diagonal/>
    </border>
    <border>
      <left/>
      <right style="thin">
        <color rgb="FF000000"/>
      </right>
      <top/>
      <bottom/>
      <diagonal/>
    </border>
    <border>
      <left/>
      <right style="thin">
        <color rgb="FF000000"/>
      </right>
      <top style="thin">
        <color rgb="FF000000"/>
      </top>
      <bottom style="thin">
        <color rgb="FF000000"/>
      </bottom>
      <diagonal/>
    </border>
    <border>
      <left style="thin">
        <color indexed="64"/>
      </left>
      <right/>
      <top/>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indexed="64"/>
      </top>
      <bottom/>
      <diagonal/>
    </border>
    <border>
      <left/>
      <right/>
      <top style="thin">
        <color indexed="64"/>
      </top>
      <bottom/>
      <diagonal/>
    </border>
    <border>
      <left/>
      <right style="thin">
        <color rgb="FF000000"/>
      </right>
      <top/>
      <bottom style="thin">
        <color indexed="64"/>
      </bottom>
      <diagonal/>
    </border>
    <border>
      <left style="medium">
        <color indexed="64"/>
      </left>
      <right style="medium">
        <color indexed="64"/>
      </right>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rgb="FF000000"/>
      </right>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rgb="FF000000"/>
      </top>
      <bottom/>
      <diagonal/>
    </border>
    <border>
      <left/>
      <right style="thin">
        <color indexed="64"/>
      </right>
      <top/>
      <bottom style="thin">
        <color rgb="FF000000"/>
      </bottom>
      <diagonal/>
    </border>
    <border>
      <left style="thin">
        <color rgb="FF000000"/>
      </left>
      <right style="medium">
        <color indexed="64"/>
      </right>
      <top/>
      <bottom style="thin">
        <color rgb="FF000000"/>
      </bottom>
      <diagonal/>
    </border>
    <border>
      <left style="medium">
        <color indexed="64"/>
      </left>
      <right style="medium">
        <color indexed="64"/>
      </right>
      <top/>
      <bottom style="thin">
        <color indexed="64"/>
      </bottom>
      <diagonal/>
    </border>
    <border>
      <left style="medium">
        <color indexed="64"/>
      </left>
      <right style="thin">
        <color rgb="FF000000"/>
      </right>
      <top/>
      <bottom style="thin">
        <color rgb="FF000000"/>
      </bottom>
      <diagonal/>
    </border>
    <border>
      <left style="thin">
        <color rgb="FF000000"/>
      </left>
      <right style="thin">
        <color indexed="64"/>
      </right>
      <top/>
      <bottom style="thin">
        <color rgb="FF000000"/>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rgb="FF000000"/>
      </right>
      <top style="medium">
        <color indexed="64"/>
      </top>
      <bottom/>
      <diagonal/>
    </border>
    <border>
      <left style="medium">
        <color indexed="64"/>
      </left>
      <right/>
      <top/>
      <bottom style="medium">
        <color indexed="64"/>
      </bottom>
      <diagonal/>
    </border>
    <border>
      <left/>
      <right style="thin">
        <color rgb="FF000000"/>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rgb="FF000000"/>
      </left>
      <right style="medium">
        <color indexed="64"/>
      </right>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top style="thin">
        <color rgb="FF000000"/>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s>
  <cellStyleXfs count="9">
    <xf numFmtId="0" fontId="0" fillId="0" borderId="0"/>
    <xf numFmtId="9" fontId="1" fillId="0" borderId="0" applyFont="0" applyFill="0" applyBorder="0" applyAlignment="0" applyProtection="0"/>
    <xf numFmtId="0" fontId="4" fillId="0" borderId="0"/>
    <xf numFmtId="164" fontId="1" fillId="0" borderId="0" applyFont="0" applyFill="0" applyBorder="0" applyAlignment="0" applyProtection="0"/>
    <xf numFmtId="0" fontId="4" fillId="0" borderId="0"/>
    <xf numFmtId="165" fontId="1"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43" fontId="1" fillId="0" borderId="0" applyFont="0" applyFill="0" applyBorder="0" applyAlignment="0" applyProtection="0"/>
  </cellStyleXfs>
  <cellXfs count="903">
    <xf numFmtId="0" fontId="0" fillId="0" borderId="0" xfId="0"/>
    <xf numFmtId="0" fontId="0" fillId="0" borderId="0" xfId="0" applyAlignment="1">
      <alignment horizontal="center" vertical="center"/>
    </xf>
    <xf numFmtId="0" fontId="0" fillId="0" borderId="0" xfId="0" applyAlignment="1">
      <alignment vertical="center"/>
    </xf>
    <xf numFmtId="167" fontId="0" fillId="0" borderId="0" xfId="0" applyNumberFormat="1" applyAlignment="1">
      <alignment vertical="center"/>
    </xf>
    <xf numFmtId="169" fontId="0" fillId="0" borderId="0" xfId="0" applyNumberFormat="1" applyAlignment="1">
      <alignment vertical="center"/>
    </xf>
    <xf numFmtId="168" fontId="6" fillId="10" borderId="13" xfId="0" applyNumberFormat="1" applyFont="1" applyFill="1" applyBorder="1" applyAlignment="1">
      <alignment horizontal="center" vertical="center"/>
    </xf>
    <xf numFmtId="0" fontId="0" fillId="0" borderId="0" xfId="0" applyAlignment="1">
      <alignment wrapText="1"/>
    </xf>
    <xf numFmtId="0" fontId="16" fillId="0" borderId="10" xfId="0" applyFont="1" applyBorder="1" applyAlignment="1">
      <alignment horizontal="center" vertical="center"/>
    </xf>
    <xf numFmtId="170" fontId="17" fillId="0" borderId="2" xfId="0" applyNumberFormat="1" applyFont="1" applyBorder="1" applyAlignment="1">
      <alignment horizontal="center" vertical="center"/>
    </xf>
    <xf numFmtId="0" fontId="16" fillId="7" borderId="10" xfId="1" applyNumberFormat="1" applyFont="1" applyFill="1" applyBorder="1" applyAlignment="1">
      <alignment horizontal="center" vertical="center"/>
    </xf>
    <xf numFmtId="170" fontId="16" fillId="0" borderId="10" xfId="0" applyNumberFormat="1" applyFont="1" applyBorder="1" applyAlignment="1">
      <alignment horizontal="center" vertical="center" wrapText="1"/>
    </xf>
    <xf numFmtId="168" fontId="16" fillId="0" borderId="13" xfId="0" applyNumberFormat="1" applyFont="1" applyBorder="1" applyAlignment="1">
      <alignment horizontal="center" vertical="center"/>
    </xf>
    <xf numFmtId="0" fontId="16" fillId="7" borderId="10" xfId="0" applyFont="1" applyFill="1" applyBorder="1" applyAlignment="1">
      <alignment horizontal="center" vertical="center" wrapText="1"/>
    </xf>
    <xf numFmtId="0" fontId="16" fillId="7" borderId="10" xfId="0" applyFont="1" applyFill="1" applyBorder="1" applyAlignment="1">
      <alignment horizontal="center" vertical="center"/>
    </xf>
    <xf numFmtId="0" fontId="18" fillId="7" borderId="11" xfId="0" applyFont="1" applyFill="1" applyBorder="1" applyAlignment="1">
      <alignment horizontal="center" vertical="center" wrapText="1"/>
    </xf>
    <xf numFmtId="0" fontId="18" fillId="7" borderId="2" xfId="0" applyFont="1" applyFill="1" applyBorder="1" applyAlignment="1">
      <alignment horizontal="center" vertical="center" wrapText="1"/>
    </xf>
    <xf numFmtId="168" fontId="16" fillId="0" borderId="2" xfId="0" applyNumberFormat="1" applyFont="1" applyBorder="1" applyAlignment="1">
      <alignment horizontal="center" vertical="center"/>
    </xf>
    <xf numFmtId="0" fontId="16" fillId="0" borderId="10" xfId="0" applyFont="1" applyBorder="1" applyAlignment="1">
      <alignment horizontal="center" vertical="center" wrapText="1"/>
    </xf>
    <xf numFmtId="0" fontId="30" fillId="16" borderId="7" xfId="0" applyFont="1" applyFill="1" applyBorder="1" applyAlignment="1">
      <alignment horizontal="left" vertical="center" wrapText="1"/>
    </xf>
    <xf numFmtId="172" fontId="0" fillId="0" borderId="0" xfId="0" applyNumberFormat="1"/>
    <xf numFmtId="0" fontId="6" fillId="0" borderId="11" xfId="0" applyFont="1" applyBorder="1" applyAlignment="1">
      <alignment horizontal="center" vertical="center"/>
    </xf>
    <xf numFmtId="0" fontId="6" fillId="7" borderId="27" xfId="0" applyFont="1" applyFill="1" applyBorder="1" applyAlignment="1">
      <alignment horizontal="center" vertical="center" wrapText="1"/>
    </xf>
    <xf numFmtId="168" fontId="43" fillId="14" borderId="41" xfId="0" applyNumberFormat="1" applyFont="1" applyFill="1" applyBorder="1" applyAlignment="1">
      <alignment horizontal="center" vertical="center"/>
    </xf>
    <xf numFmtId="0" fontId="6" fillId="7" borderId="10" xfId="0" applyFont="1" applyFill="1" applyBorder="1" applyAlignment="1">
      <alignment horizontal="center" vertical="center"/>
    </xf>
    <xf numFmtId="0" fontId="6" fillId="7" borderId="10" xfId="0" applyFont="1" applyFill="1" applyBorder="1" applyAlignment="1">
      <alignment vertical="center" wrapText="1"/>
    </xf>
    <xf numFmtId="169" fontId="6" fillId="10" borderId="11" xfId="0" applyNumberFormat="1" applyFont="1" applyFill="1" applyBorder="1" applyAlignment="1">
      <alignment vertical="center"/>
    </xf>
    <xf numFmtId="0" fontId="44" fillId="0" borderId="36" xfId="6" applyFont="1" applyBorder="1" applyAlignment="1">
      <alignment vertical="center" wrapText="1"/>
    </xf>
    <xf numFmtId="0" fontId="45" fillId="7" borderId="36" xfId="0" applyFont="1" applyFill="1" applyBorder="1" applyAlignment="1">
      <alignment horizontal="center" vertical="center" wrapText="1"/>
    </xf>
    <xf numFmtId="0" fontId="8" fillId="0" borderId="4" xfId="6" applyBorder="1" applyAlignment="1">
      <alignment vertical="center" wrapText="1"/>
    </xf>
    <xf numFmtId="0" fontId="0" fillId="0" borderId="4" xfId="0" applyBorder="1" applyAlignment="1">
      <alignment vertical="center" wrapText="1"/>
    </xf>
    <xf numFmtId="0" fontId="45" fillId="7" borderId="27" xfId="0" applyFont="1" applyFill="1" applyBorder="1" applyAlignment="1">
      <alignment horizontal="center" vertical="center" wrapText="1"/>
    </xf>
    <xf numFmtId="168" fontId="6" fillId="10" borderId="16" xfId="0" applyNumberFormat="1" applyFont="1" applyFill="1" applyBorder="1" applyAlignment="1">
      <alignment horizontal="center" vertical="center"/>
    </xf>
    <xf numFmtId="168" fontId="43" fillId="14" borderId="11" xfId="0" applyNumberFormat="1" applyFont="1" applyFill="1" applyBorder="1" applyAlignment="1">
      <alignment horizontal="center" vertical="center"/>
    </xf>
    <xf numFmtId="0" fontId="6" fillId="7" borderId="11" xfId="0" applyFont="1" applyFill="1" applyBorder="1" applyAlignment="1">
      <alignment horizontal="center" vertical="center"/>
    </xf>
    <xf numFmtId="0" fontId="6" fillId="7" borderId="28" xfId="0" applyFont="1" applyFill="1" applyBorder="1" applyAlignment="1">
      <alignment horizontal="center" vertical="center" wrapText="1"/>
    </xf>
    <xf numFmtId="168" fontId="43" fillId="14" borderId="12" xfId="0" applyNumberFormat="1" applyFont="1" applyFill="1" applyBorder="1" applyAlignment="1">
      <alignment horizontal="center" vertical="center"/>
    </xf>
    <xf numFmtId="0" fontId="6" fillId="7" borderId="12" xfId="0" applyFont="1" applyFill="1" applyBorder="1" applyAlignment="1">
      <alignment horizontal="center" vertical="center"/>
    </xf>
    <xf numFmtId="168" fontId="6" fillId="10" borderId="26" xfId="0" applyNumberFormat="1" applyFont="1" applyFill="1" applyBorder="1" applyAlignment="1">
      <alignment horizontal="center" vertical="center"/>
    </xf>
    <xf numFmtId="0" fontId="8" fillId="0" borderId="28" xfId="6" applyBorder="1" applyAlignment="1">
      <alignment vertical="center" wrapText="1"/>
    </xf>
    <xf numFmtId="0" fontId="8" fillId="0" borderId="36" xfId="6" applyBorder="1" applyAlignment="1">
      <alignment vertical="center" wrapText="1"/>
    </xf>
    <xf numFmtId="0" fontId="6" fillId="7" borderId="35" xfId="0" applyFont="1" applyFill="1" applyBorder="1" applyAlignment="1">
      <alignment horizontal="center" vertical="center" wrapText="1"/>
    </xf>
    <xf numFmtId="168" fontId="43" fillId="14" borderId="15" xfId="0" applyNumberFormat="1" applyFont="1" applyFill="1" applyBorder="1" applyAlignment="1">
      <alignment horizontal="center" vertical="center"/>
    </xf>
    <xf numFmtId="0" fontId="6" fillId="7" borderId="15" xfId="0" applyFont="1" applyFill="1" applyBorder="1" applyAlignment="1">
      <alignment horizontal="center" vertical="center"/>
    </xf>
    <xf numFmtId="0" fontId="6" fillId="7" borderId="15" xfId="0" applyFont="1" applyFill="1" applyBorder="1" applyAlignment="1">
      <alignment vertical="center" wrapText="1"/>
    </xf>
    <xf numFmtId="0" fontId="8" fillId="0" borderId="6" xfId="6" applyBorder="1" applyAlignment="1">
      <alignment vertical="center" wrapText="1"/>
    </xf>
    <xf numFmtId="0" fontId="0" fillId="0" borderId="4" xfId="0" applyBorder="1" applyAlignment="1">
      <alignment horizontal="center" vertical="center" wrapText="1"/>
    </xf>
    <xf numFmtId="0" fontId="8" fillId="0" borderId="4" xfId="6" applyBorder="1" applyAlignment="1">
      <alignment horizontal="center" vertical="center" wrapText="1"/>
    </xf>
    <xf numFmtId="0" fontId="6" fillId="0" borderId="13" xfId="0" applyFont="1" applyBorder="1" applyAlignment="1">
      <alignment horizontal="center" vertical="center"/>
    </xf>
    <xf numFmtId="0" fontId="45" fillId="7" borderId="11" xfId="0" applyFont="1" applyFill="1" applyBorder="1" applyAlignment="1">
      <alignment horizontal="center" vertical="center" wrapText="1"/>
    </xf>
    <xf numFmtId="0" fontId="45" fillId="7" borderId="35" xfId="0" applyFont="1" applyFill="1" applyBorder="1" applyAlignment="1">
      <alignment horizontal="center" vertical="center" wrapText="1"/>
    </xf>
    <xf numFmtId="0" fontId="51" fillId="0" borderId="4" xfId="6" applyFont="1" applyBorder="1" applyAlignment="1">
      <alignment vertical="center" wrapText="1"/>
    </xf>
    <xf numFmtId="168" fontId="53" fillId="14" borderId="11" xfId="0" applyNumberFormat="1" applyFont="1" applyFill="1" applyBorder="1" applyAlignment="1">
      <alignment horizontal="center" vertical="center"/>
    </xf>
    <xf numFmtId="0" fontId="45" fillId="7" borderId="11" xfId="0" applyFont="1" applyFill="1" applyBorder="1" applyAlignment="1">
      <alignment horizontal="center" vertical="center"/>
    </xf>
    <xf numFmtId="0" fontId="45" fillId="7" borderId="11" xfId="0" applyFont="1" applyFill="1" applyBorder="1" applyAlignment="1">
      <alignment vertical="center" wrapText="1"/>
    </xf>
    <xf numFmtId="168" fontId="6" fillId="10" borderId="38" xfId="0" applyNumberFormat="1" applyFont="1" applyFill="1" applyBorder="1" applyAlignment="1">
      <alignment horizontal="center" vertical="center"/>
    </xf>
    <xf numFmtId="0" fontId="6" fillId="7" borderId="11" xfId="0" applyFont="1" applyFill="1" applyBorder="1" applyAlignment="1">
      <alignment horizontal="center" vertical="center" wrapText="1"/>
    </xf>
    <xf numFmtId="173" fontId="43" fillId="14" borderId="11" xfId="0" applyNumberFormat="1" applyFont="1" applyFill="1" applyBorder="1" applyAlignment="1">
      <alignment horizontal="center" vertical="center"/>
    </xf>
    <xf numFmtId="168" fontId="6" fillId="10" borderId="11" xfId="0" applyNumberFormat="1" applyFont="1" applyFill="1" applyBorder="1" applyAlignment="1">
      <alignment horizontal="center" vertical="center"/>
    </xf>
    <xf numFmtId="0" fontId="8" fillId="0" borderId="11" xfId="6" applyBorder="1" applyAlignment="1">
      <alignment vertical="center" wrapText="1"/>
    </xf>
    <xf numFmtId="168" fontId="0" fillId="0" borderId="0" xfId="0" applyNumberFormat="1" applyAlignment="1">
      <alignment vertical="center"/>
    </xf>
    <xf numFmtId="0" fontId="55" fillId="0" borderId="11" xfId="6" applyFont="1" applyBorder="1" applyAlignment="1">
      <alignment vertical="center" wrapText="1"/>
    </xf>
    <xf numFmtId="0" fontId="47" fillId="7" borderId="11" xfId="0" applyFont="1" applyFill="1" applyBorder="1" applyAlignment="1">
      <alignment horizontal="center" vertical="center" wrapText="1"/>
    </xf>
    <xf numFmtId="0" fontId="46" fillId="0" borderId="11" xfId="0" applyFont="1" applyBorder="1" applyAlignment="1">
      <alignment horizontal="center" vertical="center"/>
    </xf>
    <xf numFmtId="0" fontId="8" fillId="0" borderId="11" xfId="6" applyBorder="1" applyAlignment="1">
      <alignment wrapText="1"/>
    </xf>
    <xf numFmtId="0" fontId="46" fillId="7" borderId="11" xfId="0" applyFont="1" applyFill="1" applyBorder="1" applyAlignment="1">
      <alignment horizontal="center" vertical="center"/>
    </xf>
    <xf numFmtId="0" fontId="56" fillId="0" borderId="11" xfId="6" applyFont="1" applyBorder="1" applyAlignment="1">
      <alignment wrapText="1"/>
    </xf>
    <xf numFmtId="0" fontId="57" fillId="0" borderId="11" xfId="6" applyFont="1" applyBorder="1" applyAlignment="1">
      <alignment vertical="center" wrapText="1"/>
    </xf>
    <xf numFmtId="0" fontId="40" fillId="11" borderId="0" xfId="0" applyFont="1" applyFill="1" applyAlignment="1">
      <alignment horizontal="left" vertical="center" wrapText="1"/>
    </xf>
    <xf numFmtId="0" fontId="0" fillId="0" borderId="11" xfId="0" applyBorder="1" applyAlignment="1">
      <alignment vertical="center"/>
    </xf>
    <xf numFmtId="0" fontId="48" fillId="7" borderId="11" xfId="0" applyFont="1" applyFill="1" applyBorder="1" applyAlignment="1">
      <alignment horizontal="center" vertical="center" wrapText="1"/>
    </xf>
    <xf numFmtId="0" fontId="0" fillId="0" borderId="0" xfId="0" applyAlignment="1">
      <alignment horizontal="left" vertical="center"/>
    </xf>
    <xf numFmtId="0" fontId="42" fillId="7" borderId="11" xfId="0" applyFont="1" applyFill="1" applyBorder="1" applyAlignment="1">
      <alignment horizontal="center" vertical="center" wrapText="1"/>
    </xf>
    <xf numFmtId="0" fontId="0" fillId="0" borderId="0" xfId="0" applyAlignment="1">
      <alignment horizontal="left" vertical="center" wrapText="1"/>
    </xf>
    <xf numFmtId="168" fontId="63" fillId="14" borderId="11" xfId="0" applyNumberFormat="1" applyFont="1" applyFill="1" applyBorder="1" applyAlignment="1">
      <alignment horizontal="center" vertical="center"/>
    </xf>
    <xf numFmtId="0" fontId="5" fillId="7" borderId="11" xfId="0" applyFont="1" applyFill="1" applyBorder="1" applyAlignment="1">
      <alignment horizontal="center" vertical="center"/>
    </xf>
    <xf numFmtId="169" fontId="5" fillId="10" borderId="11" xfId="0" applyNumberFormat="1" applyFont="1" applyFill="1" applyBorder="1" applyAlignment="1">
      <alignment vertical="center"/>
    </xf>
    <xf numFmtId="0" fontId="65" fillId="0" borderId="0" xfId="0" applyFont="1" applyAlignment="1">
      <alignment vertical="center"/>
    </xf>
    <xf numFmtId="169" fontId="6" fillId="10" borderId="14" xfId="0" applyNumberFormat="1" applyFont="1" applyFill="1" applyBorder="1" applyAlignment="1">
      <alignment vertical="center"/>
    </xf>
    <xf numFmtId="0" fontId="0" fillId="0" borderId="0" xfId="0" applyAlignment="1">
      <alignment vertical="center" wrapText="1"/>
    </xf>
    <xf numFmtId="171" fontId="31" fillId="16" borderId="7" xfId="8" applyNumberFormat="1" applyFont="1" applyFill="1" applyBorder="1" applyAlignment="1">
      <alignment horizontal="center" vertical="center"/>
    </xf>
    <xf numFmtId="1" fontId="6" fillId="7" borderId="2" xfId="1" applyNumberFormat="1" applyFont="1" applyFill="1" applyBorder="1" applyAlignment="1">
      <alignment horizontal="center" vertical="center"/>
    </xf>
    <xf numFmtId="0" fontId="45" fillId="7" borderId="2" xfId="0" applyFont="1" applyFill="1" applyBorder="1" applyAlignment="1">
      <alignment horizontal="left" vertical="center" wrapText="1"/>
    </xf>
    <xf numFmtId="168" fontId="43" fillId="14" borderId="2" xfId="0" applyNumberFormat="1" applyFont="1" applyFill="1" applyBorder="1" applyAlignment="1">
      <alignment horizontal="center" vertical="center"/>
    </xf>
    <xf numFmtId="0" fontId="6" fillId="7" borderId="2" xfId="0" applyFont="1" applyFill="1" applyBorder="1" applyAlignment="1">
      <alignment horizontal="center" vertical="center"/>
    </xf>
    <xf numFmtId="168" fontId="6" fillId="7" borderId="2" xfId="0" applyNumberFormat="1" applyFont="1" applyFill="1" applyBorder="1" applyAlignment="1">
      <alignment vertical="center" wrapText="1"/>
    </xf>
    <xf numFmtId="168" fontId="6" fillId="10" borderId="2" xfId="0" applyNumberFormat="1" applyFont="1" applyFill="1" applyBorder="1" applyAlignment="1">
      <alignment horizontal="center" vertical="center"/>
    </xf>
    <xf numFmtId="169" fontId="6" fillId="10" borderId="9" xfId="0" applyNumberFormat="1" applyFont="1" applyFill="1" applyBorder="1" applyAlignment="1">
      <alignment vertical="center"/>
    </xf>
    <xf numFmtId="169" fontId="6" fillId="10" borderId="2" xfId="0" applyNumberFormat="1" applyFont="1" applyFill="1" applyBorder="1" applyAlignment="1">
      <alignment vertical="center"/>
    </xf>
    <xf numFmtId="168" fontId="6" fillId="7" borderId="2" xfId="5" applyNumberFormat="1" applyFont="1" applyFill="1" applyBorder="1" applyAlignment="1">
      <alignment vertical="center" wrapText="1"/>
    </xf>
    <xf numFmtId="168" fontId="6" fillId="7" borderId="10" xfId="0" applyNumberFormat="1" applyFont="1" applyFill="1" applyBorder="1" applyAlignment="1">
      <alignment vertical="center" wrapText="1"/>
    </xf>
    <xf numFmtId="169" fontId="16" fillId="10" borderId="9" xfId="0" applyNumberFormat="1" applyFont="1" applyFill="1" applyBorder="1" applyAlignment="1">
      <alignment horizontal="center" vertical="center"/>
    </xf>
    <xf numFmtId="0" fontId="8" fillId="0" borderId="9" xfId="6" applyBorder="1" applyAlignment="1">
      <alignment vertical="center"/>
    </xf>
    <xf numFmtId="0" fontId="8" fillId="0" borderId="14" xfId="6" applyBorder="1" applyAlignment="1">
      <alignment vertical="center"/>
    </xf>
    <xf numFmtId="0" fontId="17" fillId="0" borderId="9" xfId="0" applyFont="1" applyBorder="1" applyAlignment="1">
      <alignment vertical="center"/>
    </xf>
    <xf numFmtId="0" fontId="17" fillId="0" borderId="14" xfId="0" applyFont="1" applyBorder="1" applyAlignment="1">
      <alignment vertical="center"/>
    </xf>
    <xf numFmtId="169" fontId="16" fillId="10" borderId="9" xfId="0" applyNumberFormat="1" applyFont="1" applyFill="1" applyBorder="1" applyAlignment="1">
      <alignment vertical="center"/>
    </xf>
    <xf numFmtId="0" fontId="16" fillId="0" borderId="2" xfId="0" applyFont="1" applyBorder="1" applyAlignment="1">
      <alignment horizontal="center" vertical="center"/>
    </xf>
    <xf numFmtId="0" fontId="16" fillId="7" borderId="2" xfId="0" applyFont="1" applyFill="1" applyBorder="1" applyAlignment="1">
      <alignment horizontal="center" vertical="center"/>
    </xf>
    <xf numFmtId="170" fontId="16" fillId="0" borderId="2" xfId="0" applyNumberFormat="1" applyFont="1" applyBorder="1" applyAlignment="1">
      <alignment horizontal="center" vertical="center" wrapText="1"/>
    </xf>
    <xf numFmtId="169" fontId="16" fillId="10" borderId="2" xfId="0" applyNumberFormat="1" applyFont="1" applyFill="1" applyBorder="1" applyAlignment="1">
      <alignment vertical="center"/>
    </xf>
    <xf numFmtId="0" fontId="17" fillId="0" borderId="2" xfId="0" applyFont="1" applyBorder="1" applyAlignment="1">
      <alignment horizontal="center" vertical="center"/>
    </xf>
    <xf numFmtId="0" fontId="6" fillId="15" borderId="62" xfId="0" applyFont="1" applyFill="1" applyBorder="1" applyAlignment="1">
      <alignment vertical="center" wrapText="1"/>
    </xf>
    <xf numFmtId="175" fontId="0" fillId="23" borderId="52" xfId="0" applyNumberFormat="1" applyFill="1" applyBorder="1" applyAlignment="1">
      <alignment horizontal="right" vertical="center"/>
    </xf>
    <xf numFmtId="176" fontId="39" fillId="15" borderId="52" xfId="0" applyNumberFormat="1" applyFont="1" applyFill="1" applyBorder="1" applyAlignment="1">
      <alignment vertical="center" wrapText="1"/>
    </xf>
    <xf numFmtId="177" fontId="6" fillId="23" borderId="62" xfId="0" applyNumberFormat="1" applyFont="1" applyFill="1" applyBorder="1" applyAlignment="1">
      <alignment horizontal="right" vertical="center" wrapText="1"/>
    </xf>
    <xf numFmtId="177" fontId="6" fillId="15" borderId="52" xfId="0" applyNumberFormat="1" applyFont="1" applyFill="1" applyBorder="1" applyAlignment="1">
      <alignment horizontal="right" vertical="center" wrapText="1"/>
    </xf>
    <xf numFmtId="177" fontId="39" fillId="23" borderId="55" xfId="0" applyNumberFormat="1" applyFont="1" applyFill="1" applyBorder="1" applyAlignment="1">
      <alignment horizontal="right" vertical="center" wrapText="1"/>
    </xf>
    <xf numFmtId="169" fontId="6" fillId="15" borderId="52" xfId="0" applyNumberFormat="1" applyFont="1" applyFill="1" applyBorder="1" applyAlignment="1">
      <alignment vertical="center"/>
    </xf>
    <xf numFmtId="0" fontId="6" fillId="15" borderId="84" xfId="0" applyFont="1" applyFill="1" applyBorder="1" applyAlignment="1">
      <alignment vertical="center" wrapText="1"/>
    </xf>
    <xf numFmtId="175" fontId="0" fillId="23" borderId="2" xfId="0" applyNumberFormat="1" applyFill="1" applyBorder="1" applyAlignment="1">
      <alignment horizontal="right" vertical="center"/>
    </xf>
    <xf numFmtId="176" fontId="39" fillId="15" borderId="2" xfId="0" applyNumberFormat="1" applyFont="1" applyFill="1" applyBorder="1" applyAlignment="1">
      <alignment vertical="center" wrapText="1"/>
    </xf>
    <xf numFmtId="177" fontId="6" fillId="23" borderId="84" xfId="0" applyNumberFormat="1" applyFont="1" applyFill="1" applyBorder="1" applyAlignment="1">
      <alignment horizontal="right" vertical="center" wrapText="1"/>
    </xf>
    <xf numFmtId="177" fontId="6" fillId="15" borderId="2" xfId="0" applyNumberFormat="1" applyFont="1" applyFill="1" applyBorder="1" applyAlignment="1">
      <alignment horizontal="right" vertical="center" wrapText="1"/>
    </xf>
    <xf numFmtId="169" fontId="6" fillId="15" borderId="2" xfId="0" applyNumberFormat="1" applyFont="1" applyFill="1" applyBorder="1" applyAlignment="1">
      <alignment vertical="center"/>
    </xf>
    <xf numFmtId="0" fontId="6" fillId="15" borderId="64" xfId="0" applyFont="1" applyFill="1" applyBorder="1" applyAlignment="1">
      <alignment vertical="center" wrapText="1"/>
    </xf>
    <xf numFmtId="176" fontId="39" fillId="15" borderId="55" xfId="0" applyNumberFormat="1" applyFont="1" applyFill="1" applyBorder="1" applyAlignment="1">
      <alignment vertical="center" wrapText="1"/>
    </xf>
    <xf numFmtId="177" fontId="6" fillId="23" borderId="64" xfId="0" applyNumberFormat="1" applyFont="1" applyFill="1" applyBorder="1" applyAlignment="1">
      <alignment horizontal="right" vertical="center" wrapText="1"/>
    </xf>
    <xf numFmtId="177" fontId="6" fillId="15" borderId="55" xfId="0" applyNumberFormat="1" applyFont="1" applyFill="1" applyBorder="1" applyAlignment="1">
      <alignment horizontal="right" vertical="center" wrapText="1"/>
    </xf>
    <xf numFmtId="169" fontId="6" fillId="15" borderId="55" xfId="0" applyNumberFormat="1" applyFont="1" applyFill="1" applyBorder="1" applyAlignment="1">
      <alignment vertical="center"/>
    </xf>
    <xf numFmtId="175" fontId="0" fillId="23" borderId="1" xfId="0" applyNumberFormat="1" applyFill="1" applyBorder="1" applyAlignment="1">
      <alignment horizontal="right" vertical="center"/>
    </xf>
    <xf numFmtId="176" fontId="39" fillId="15" borderId="1" xfId="0" applyNumberFormat="1" applyFont="1" applyFill="1" applyBorder="1" applyAlignment="1">
      <alignment vertical="center" wrapText="1"/>
    </xf>
    <xf numFmtId="177" fontId="39" fillId="23" borderId="52" xfId="0" applyNumberFormat="1" applyFont="1" applyFill="1" applyBorder="1" applyAlignment="1">
      <alignment horizontal="right" vertical="center" wrapText="1"/>
    </xf>
    <xf numFmtId="169" fontId="6" fillId="15" borderId="1" xfId="0" applyNumberFormat="1" applyFont="1" applyFill="1" applyBorder="1" applyAlignment="1">
      <alignment vertical="center"/>
    </xf>
    <xf numFmtId="0" fontId="0" fillId="15" borderId="1" xfId="0" applyFill="1" applyBorder="1" applyAlignment="1">
      <alignment horizontal="center" vertical="center" wrapText="1"/>
    </xf>
    <xf numFmtId="0" fontId="0" fillId="15" borderId="60" xfId="0" applyFill="1" applyBorder="1" applyAlignment="1">
      <alignment horizontal="left" vertical="center" wrapText="1"/>
    </xf>
    <xf numFmtId="177" fontId="39" fillId="23" borderId="2" xfId="0" applyNumberFormat="1" applyFont="1" applyFill="1" applyBorder="1" applyAlignment="1">
      <alignment horizontal="right" vertical="center" wrapText="1"/>
    </xf>
    <xf numFmtId="175" fontId="0" fillId="23" borderId="55" xfId="0" applyNumberFormat="1" applyFill="1" applyBorder="1" applyAlignment="1">
      <alignment horizontal="right" vertical="center"/>
    </xf>
    <xf numFmtId="177" fontId="6" fillId="23" borderId="63" xfId="0" applyNumberFormat="1" applyFont="1" applyFill="1" applyBorder="1" applyAlignment="1">
      <alignment horizontal="right" vertical="center" wrapText="1"/>
    </xf>
    <xf numFmtId="177" fontId="6" fillId="15" borderId="1" xfId="0" applyNumberFormat="1" applyFont="1" applyFill="1" applyBorder="1" applyAlignment="1">
      <alignment horizontal="right" vertical="center" wrapText="1"/>
    </xf>
    <xf numFmtId="177" fontId="39" fillId="23" borderId="1" xfId="0" applyNumberFormat="1" applyFont="1" applyFill="1" applyBorder="1" applyAlignment="1">
      <alignment horizontal="right" vertical="center" wrapText="1"/>
    </xf>
    <xf numFmtId="175" fontId="0" fillId="23" borderId="9" xfId="0" applyNumberFormat="1" applyFill="1" applyBorder="1" applyAlignment="1">
      <alignment horizontal="right" vertical="center"/>
    </xf>
    <xf numFmtId="176" fontId="39" fillId="15" borderId="9" xfId="0" applyNumberFormat="1" applyFont="1" applyFill="1" applyBorder="1" applyAlignment="1">
      <alignment vertical="center" wrapText="1"/>
    </xf>
    <xf numFmtId="177" fontId="6" fillId="23" borderId="77" xfId="0" applyNumberFormat="1" applyFont="1" applyFill="1" applyBorder="1" applyAlignment="1">
      <alignment horizontal="right" vertical="center" wrapText="1"/>
    </xf>
    <xf numFmtId="177" fontId="6" fillId="15" borderId="9" xfId="0" applyNumberFormat="1" applyFont="1" applyFill="1" applyBorder="1" applyAlignment="1">
      <alignment horizontal="right" vertical="center" wrapText="1"/>
    </xf>
    <xf numFmtId="177" fontId="39" fillId="23" borderId="9" xfId="0" applyNumberFormat="1" applyFont="1" applyFill="1" applyBorder="1" applyAlignment="1">
      <alignment horizontal="right" vertical="center" wrapText="1"/>
    </xf>
    <xf numFmtId="169" fontId="6" fillId="15" borderId="9" xfId="0" applyNumberFormat="1" applyFont="1" applyFill="1" applyBorder="1" applyAlignment="1">
      <alignment vertical="center"/>
    </xf>
    <xf numFmtId="0" fontId="54" fillId="0" borderId="94" xfId="0" applyFont="1" applyBorder="1" applyAlignment="1">
      <alignment horizontal="center" vertical="center"/>
    </xf>
    <xf numFmtId="176" fontId="54" fillId="0" borderId="94" xfId="0" applyNumberFormat="1" applyFont="1" applyBorder="1" applyAlignment="1">
      <alignment horizontal="center" vertical="center"/>
    </xf>
    <xf numFmtId="167" fontId="0" fillId="21" borderId="94" xfId="0" applyNumberFormat="1" applyFill="1" applyBorder="1" applyAlignment="1">
      <alignment vertical="center"/>
    </xf>
    <xf numFmtId="177" fontId="54" fillId="0" borderId="94" xfId="0" applyNumberFormat="1" applyFont="1" applyBorder="1" applyAlignment="1">
      <alignment horizontal="right" vertical="center"/>
    </xf>
    <xf numFmtId="167" fontId="54" fillId="0" borderId="94" xfId="0" applyNumberFormat="1" applyFont="1" applyBorder="1" applyAlignment="1">
      <alignment vertical="center"/>
    </xf>
    <xf numFmtId="167" fontId="0" fillId="8" borderId="94" xfId="0" applyNumberFormat="1" applyFill="1" applyBorder="1" applyAlignment="1">
      <alignment vertical="center"/>
    </xf>
    <xf numFmtId="169" fontId="54" fillId="0" borderId="94" xfId="0" applyNumberFormat="1" applyFont="1" applyBorder="1" applyAlignment="1">
      <alignment vertical="center"/>
    </xf>
    <xf numFmtId="0" fontId="6" fillId="7" borderId="10" xfId="0" applyFont="1" applyFill="1" applyBorder="1" applyAlignment="1">
      <alignment horizontal="left" vertical="center" wrapText="1"/>
    </xf>
    <xf numFmtId="1" fontId="6" fillId="7" borderId="10" xfId="0" applyNumberFormat="1" applyFont="1" applyFill="1" applyBorder="1" applyAlignment="1">
      <alignment horizontal="center" vertical="center"/>
    </xf>
    <xf numFmtId="0" fontId="45" fillId="7" borderId="11" xfId="0" applyFont="1" applyFill="1" applyBorder="1" applyAlignment="1">
      <alignment horizontal="left" vertical="center" wrapText="1"/>
    </xf>
    <xf numFmtId="168" fontId="6" fillId="12" borderId="13" xfId="0" applyNumberFormat="1" applyFont="1" applyFill="1" applyBorder="1" applyAlignment="1">
      <alignment horizontal="center" vertical="center"/>
    </xf>
    <xf numFmtId="0" fontId="62" fillId="7" borderId="11" xfId="0" applyFont="1" applyFill="1" applyBorder="1" applyAlignment="1">
      <alignment horizontal="center" vertical="center" wrapText="1"/>
    </xf>
    <xf numFmtId="0" fontId="6" fillId="0" borderId="15" xfId="0" applyFont="1" applyBorder="1" applyAlignment="1">
      <alignment horizontal="center" vertical="center"/>
    </xf>
    <xf numFmtId="0" fontId="6" fillId="0" borderId="10" xfId="0" applyFont="1" applyBorder="1" applyAlignment="1">
      <alignment horizontal="center" vertical="center"/>
    </xf>
    <xf numFmtId="0" fontId="6" fillId="0" borderId="27" xfId="0" applyFont="1" applyBorder="1" applyAlignment="1">
      <alignment horizontal="center" vertical="center"/>
    </xf>
    <xf numFmtId="0" fontId="6" fillId="0" borderId="2" xfId="0" applyFont="1" applyBorder="1" applyAlignment="1">
      <alignment horizontal="center" vertical="center"/>
    </xf>
    <xf numFmtId="0" fontId="6" fillId="7" borderId="2" xfId="0" applyFont="1" applyFill="1" applyBorder="1" applyAlignment="1">
      <alignment vertical="center" wrapText="1"/>
    </xf>
    <xf numFmtId="174" fontId="6" fillId="10" borderId="2" xfId="0" applyNumberFormat="1" applyFont="1" applyFill="1" applyBorder="1" applyAlignment="1">
      <alignment vertical="center"/>
    </xf>
    <xf numFmtId="173" fontId="6" fillId="10" borderId="2" xfId="0" applyNumberFormat="1" applyFont="1" applyFill="1" applyBorder="1" applyAlignment="1">
      <alignment horizontal="right" vertical="center"/>
    </xf>
    <xf numFmtId="168" fontId="6" fillId="10" borderId="2" xfId="0" applyNumberFormat="1" applyFont="1" applyFill="1" applyBorder="1" applyAlignment="1">
      <alignment horizontal="right" vertical="center"/>
    </xf>
    <xf numFmtId="0" fontId="8" fillId="0" borderId="11" xfId="7" applyBorder="1" applyAlignment="1">
      <alignment vertical="center" wrapText="1"/>
    </xf>
    <xf numFmtId="173" fontId="43" fillId="7" borderId="11" xfId="0" applyNumberFormat="1" applyFont="1" applyFill="1" applyBorder="1" applyAlignment="1">
      <alignment horizontal="right" vertical="center"/>
    </xf>
    <xf numFmtId="169" fontId="0" fillId="0" borderId="0" xfId="0" applyNumberFormat="1"/>
    <xf numFmtId="178" fontId="6" fillId="7" borderId="10" xfId="5" applyNumberFormat="1" applyFont="1" applyFill="1" applyBorder="1" applyAlignment="1">
      <alignment vertical="center" wrapText="1"/>
    </xf>
    <xf numFmtId="178" fontId="6" fillId="10" borderId="13" xfId="5" applyNumberFormat="1" applyFont="1" applyFill="1" applyBorder="1" applyAlignment="1">
      <alignment horizontal="center" vertical="center"/>
    </xf>
    <xf numFmtId="178" fontId="46" fillId="7" borderId="10" xfId="5" applyNumberFormat="1" applyFont="1" applyFill="1" applyBorder="1" applyAlignment="1">
      <alignment vertical="center" wrapText="1"/>
    </xf>
    <xf numFmtId="178" fontId="6" fillId="7" borderId="11" xfId="5" applyNumberFormat="1" applyFont="1" applyFill="1" applyBorder="1" applyAlignment="1">
      <alignment vertical="center" wrapText="1"/>
    </xf>
    <xf numFmtId="178" fontId="6" fillId="7" borderId="15" xfId="5" applyNumberFormat="1" applyFont="1" applyFill="1" applyBorder="1" applyAlignment="1">
      <alignment vertical="center" wrapText="1"/>
    </xf>
    <xf numFmtId="178" fontId="45" fillId="7" borderId="11" xfId="5" applyNumberFormat="1" applyFont="1" applyFill="1" applyBorder="1" applyAlignment="1">
      <alignment vertical="center" wrapText="1"/>
    </xf>
    <xf numFmtId="0" fontId="16" fillId="7" borderId="2" xfId="0" applyFont="1" applyFill="1" applyBorder="1" applyAlignment="1">
      <alignment horizontal="center" vertical="center" wrapText="1"/>
    </xf>
    <xf numFmtId="0" fontId="16" fillId="7" borderId="2" xfId="1" applyNumberFormat="1" applyFont="1" applyFill="1" applyBorder="1" applyAlignment="1">
      <alignment horizontal="center" vertical="center"/>
    </xf>
    <xf numFmtId="169" fontId="16" fillId="10" borderId="2" xfId="0" applyNumberFormat="1" applyFont="1" applyFill="1" applyBorder="1" applyAlignment="1">
      <alignment horizontal="center" vertical="center"/>
    </xf>
    <xf numFmtId="0" fontId="21" fillId="7" borderId="2" xfId="0" applyFont="1" applyFill="1" applyBorder="1" applyAlignment="1">
      <alignment horizontal="center" vertical="center"/>
    </xf>
    <xf numFmtId="179" fontId="6" fillId="7" borderId="10" xfId="5" applyNumberFormat="1" applyFont="1" applyFill="1" applyBorder="1" applyAlignment="1">
      <alignment vertical="center" wrapText="1"/>
    </xf>
    <xf numFmtId="0" fontId="73" fillId="12" borderId="11" xfId="0" applyFont="1" applyFill="1" applyBorder="1" applyAlignment="1">
      <alignment horizontal="center" vertical="center"/>
    </xf>
    <xf numFmtId="0" fontId="45" fillId="7" borderId="10" xfId="0" applyFont="1" applyFill="1" applyBorder="1" applyAlignment="1">
      <alignment vertical="center" wrapText="1"/>
    </xf>
    <xf numFmtId="0" fontId="45" fillId="0" borderId="2" xfId="0" applyFont="1" applyBorder="1" applyAlignment="1">
      <alignment vertical="center" wrapText="1"/>
    </xf>
    <xf numFmtId="0" fontId="6" fillId="0" borderId="0" xfId="0" applyFont="1" applyAlignment="1">
      <alignment vertical="center"/>
    </xf>
    <xf numFmtId="0" fontId="18" fillId="0" borderId="10" xfId="0" applyFont="1" applyBorder="1" applyAlignment="1">
      <alignment vertical="center"/>
    </xf>
    <xf numFmtId="179" fontId="6" fillId="7" borderId="2" xfId="5" applyNumberFormat="1" applyFont="1" applyFill="1" applyBorder="1" applyAlignment="1">
      <alignment vertical="center" wrapText="1"/>
    </xf>
    <xf numFmtId="179" fontId="6" fillId="7" borderId="15" xfId="5" applyNumberFormat="1" applyFont="1" applyFill="1" applyBorder="1" applyAlignment="1">
      <alignment vertical="center" wrapText="1"/>
    </xf>
    <xf numFmtId="0" fontId="45" fillId="7" borderId="2" xfId="0" applyFont="1" applyFill="1" applyBorder="1" applyAlignment="1">
      <alignment vertical="center" wrapText="1"/>
    </xf>
    <xf numFmtId="178" fontId="0" fillId="0" borderId="0" xfId="5" applyNumberFormat="1" applyFont="1" applyAlignment="1">
      <alignment vertical="center"/>
    </xf>
    <xf numFmtId="178" fontId="0" fillId="0" borderId="0" xfId="0" applyNumberFormat="1" applyAlignment="1">
      <alignment horizontal="center" vertical="center"/>
    </xf>
    <xf numFmtId="178" fontId="0" fillId="0" borderId="0" xfId="0" applyNumberFormat="1" applyAlignment="1">
      <alignment vertical="center"/>
    </xf>
    <xf numFmtId="0" fontId="45" fillId="7" borderId="10" xfId="0" applyFont="1" applyFill="1" applyBorder="1" applyAlignment="1">
      <alignment horizontal="center" vertical="center" wrapText="1"/>
    </xf>
    <xf numFmtId="168" fontId="43" fillId="14" borderId="10" xfId="0" applyNumberFormat="1" applyFont="1" applyFill="1" applyBorder="1" applyAlignment="1">
      <alignment horizontal="center" vertical="center"/>
    </xf>
    <xf numFmtId="169" fontId="6" fillId="10" borderId="10" xfId="0" applyNumberFormat="1" applyFont="1" applyFill="1" applyBorder="1" applyAlignment="1">
      <alignment vertical="center"/>
    </xf>
    <xf numFmtId="0" fontId="6" fillId="7" borderId="2" xfId="0" applyFont="1" applyFill="1" applyBorder="1" applyAlignment="1">
      <alignment horizontal="center" vertical="center" wrapText="1"/>
    </xf>
    <xf numFmtId="178" fontId="6" fillId="7" borderId="2" xfId="5" applyNumberFormat="1" applyFont="1" applyFill="1" applyBorder="1" applyAlignment="1">
      <alignment vertical="center" wrapText="1"/>
    </xf>
    <xf numFmtId="0" fontId="45" fillId="7" borderId="2" xfId="0" applyFont="1" applyFill="1" applyBorder="1" applyAlignment="1">
      <alignment horizontal="center" vertical="center" wrapText="1"/>
    </xf>
    <xf numFmtId="171" fontId="31" fillId="16" borderId="0" xfId="8" applyNumberFormat="1" applyFont="1" applyFill="1" applyBorder="1" applyAlignment="1">
      <alignment horizontal="left" vertical="center" wrapText="1"/>
    </xf>
    <xf numFmtId="0" fontId="40" fillId="11" borderId="5" xfId="0" applyFont="1" applyFill="1" applyBorder="1" applyAlignment="1">
      <alignment horizontal="left" vertical="center" wrapText="1"/>
    </xf>
    <xf numFmtId="0" fontId="60" fillId="0" borderId="5" xfId="0" applyFont="1" applyBorder="1" applyAlignment="1">
      <alignment horizontal="left" wrapText="1"/>
    </xf>
    <xf numFmtId="0" fontId="0" fillId="0" borderId="5" xfId="0" applyBorder="1" applyAlignment="1">
      <alignment horizontal="left" vertical="center" wrapText="1"/>
    </xf>
    <xf numFmtId="0" fontId="8" fillId="0" borderId="5" xfId="7" applyBorder="1" applyAlignment="1">
      <alignment horizontal="left" vertical="center" wrapText="1"/>
    </xf>
    <xf numFmtId="0" fontId="8" fillId="0" borderId="5" xfId="6" applyBorder="1" applyAlignment="1">
      <alignment horizontal="left" vertical="center" wrapText="1"/>
    </xf>
    <xf numFmtId="0" fontId="8" fillId="0" borderId="5" xfId="6" applyBorder="1" applyAlignment="1">
      <alignment wrapText="1"/>
    </xf>
    <xf numFmtId="0" fontId="8" fillId="0" borderId="5" xfId="6" applyBorder="1" applyAlignment="1">
      <alignment horizontal="left" wrapText="1"/>
    </xf>
    <xf numFmtId="178" fontId="6" fillId="7" borderId="13" xfId="5" applyNumberFormat="1" applyFont="1" applyFill="1" applyBorder="1" applyAlignment="1">
      <alignment vertical="center" wrapText="1"/>
    </xf>
    <xf numFmtId="178" fontId="6" fillId="7" borderId="16" xfId="5" applyNumberFormat="1" applyFont="1" applyFill="1" applyBorder="1" applyAlignment="1">
      <alignment vertical="center" wrapText="1"/>
    </xf>
    <xf numFmtId="178" fontId="6" fillId="7" borderId="5" xfId="5" applyNumberFormat="1" applyFont="1" applyFill="1" applyBorder="1" applyAlignment="1">
      <alignment vertical="center" wrapText="1"/>
    </xf>
    <xf numFmtId="168" fontId="5" fillId="10" borderId="2" xfId="0" applyNumberFormat="1" applyFont="1" applyFill="1" applyBorder="1" applyAlignment="1">
      <alignment horizontal="center" vertical="center"/>
    </xf>
    <xf numFmtId="0" fontId="45" fillId="7" borderId="96" xfId="0" applyFont="1" applyFill="1" applyBorder="1" applyAlignment="1">
      <alignment horizontal="left" vertical="center" wrapText="1"/>
    </xf>
    <xf numFmtId="168" fontId="43" fillId="14" borderId="98" xfId="0" applyNumberFormat="1" applyFont="1" applyFill="1" applyBorder="1" applyAlignment="1">
      <alignment horizontal="center" vertical="center"/>
    </xf>
    <xf numFmtId="0" fontId="6" fillId="7" borderId="96" xfId="0" applyFont="1" applyFill="1" applyBorder="1" applyAlignment="1">
      <alignment horizontal="center" vertical="center"/>
    </xf>
    <xf numFmtId="0" fontId="6" fillId="7" borderId="96" xfId="0" applyFont="1" applyFill="1" applyBorder="1" applyAlignment="1">
      <alignment vertical="center" wrapText="1"/>
    </xf>
    <xf numFmtId="168" fontId="6" fillId="10" borderId="99" xfId="0" applyNumberFormat="1" applyFont="1" applyFill="1" applyBorder="1" applyAlignment="1">
      <alignment horizontal="center" vertical="center"/>
    </xf>
    <xf numFmtId="179" fontId="6" fillId="7" borderId="16" xfId="5" applyNumberFormat="1" applyFont="1" applyFill="1" applyBorder="1" applyAlignment="1">
      <alignment vertical="center" wrapText="1"/>
    </xf>
    <xf numFmtId="173" fontId="0" fillId="0" borderId="0" xfId="0" applyNumberFormat="1"/>
    <xf numFmtId="173" fontId="0" fillId="0" borderId="0" xfId="0" applyNumberFormat="1" applyAlignment="1">
      <alignment vertical="center"/>
    </xf>
    <xf numFmtId="179" fontId="10" fillId="10" borderId="2" xfId="5" applyNumberFormat="1" applyFont="1" applyFill="1" applyBorder="1" applyAlignment="1">
      <alignment horizontal="center" vertical="center" wrapText="1"/>
    </xf>
    <xf numFmtId="174" fontId="54" fillId="0" borderId="94" xfId="0" applyNumberFormat="1" applyFont="1" applyBorder="1" applyAlignment="1">
      <alignment vertical="center"/>
    </xf>
    <xf numFmtId="169" fontId="23" fillId="0" borderId="0" xfId="0" applyNumberFormat="1" applyFont="1" applyAlignment="1">
      <alignment vertical="center"/>
    </xf>
    <xf numFmtId="0" fontId="6" fillId="15" borderId="10" xfId="0" applyFont="1" applyFill="1" applyBorder="1" applyAlignment="1">
      <alignment horizontal="center" vertical="center"/>
    </xf>
    <xf numFmtId="0" fontId="6" fillId="15" borderId="10" xfId="0" applyFont="1" applyFill="1" applyBorder="1" applyAlignment="1">
      <alignment vertical="center" wrapText="1"/>
    </xf>
    <xf numFmtId="168" fontId="43" fillId="15" borderId="41" xfId="0" applyNumberFormat="1" applyFont="1" applyFill="1" applyBorder="1" applyAlignment="1">
      <alignment horizontal="center" vertical="center"/>
    </xf>
    <xf numFmtId="168" fontId="6" fillId="15" borderId="13" xfId="0" applyNumberFormat="1" applyFont="1" applyFill="1" applyBorder="1" applyAlignment="1">
      <alignment horizontal="center" vertical="center"/>
    </xf>
    <xf numFmtId="0" fontId="0" fillId="15" borderId="0" xfId="0" applyFill="1" applyAlignment="1">
      <alignment vertical="center"/>
    </xf>
    <xf numFmtId="0" fontId="45" fillId="15" borderId="11" xfId="0" applyFont="1" applyFill="1" applyBorder="1" applyAlignment="1">
      <alignment vertical="center" wrapText="1"/>
    </xf>
    <xf numFmtId="0" fontId="45" fillId="15" borderId="10" xfId="0" applyFont="1" applyFill="1" applyBorder="1" applyAlignment="1">
      <alignment vertical="center" wrapText="1"/>
    </xf>
    <xf numFmtId="168" fontId="6" fillId="15" borderId="16" xfId="0" applyNumberFormat="1" applyFont="1" applyFill="1" applyBorder="1" applyAlignment="1">
      <alignment horizontal="center" vertical="center"/>
    </xf>
    <xf numFmtId="0" fontId="45" fillId="0" borderId="11" xfId="0" applyFont="1" applyBorder="1" applyAlignment="1">
      <alignment vertical="center" wrapText="1"/>
    </xf>
    <xf numFmtId="168" fontId="43" fillId="0" borderId="41" xfId="0" applyNumberFormat="1" applyFont="1" applyBorder="1" applyAlignment="1">
      <alignment horizontal="center" vertical="center"/>
    </xf>
    <xf numFmtId="168" fontId="6" fillId="0" borderId="13" xfId="0" applyNumberFormat="1" applyFont="1" applyBorder="1" applyAlignment="1">
      <alignment horizontal="center" vertical="center"/>
    </xf>
    <xf numFmtId="169" fontId="6" fillId="0" borderId="11" xfId="0" applyNumberFormat="1" applyFont="1" applyBorder="1" applyAlignment="1">
      <alignment vertical="center"/>
    </xf>
    <xf numFmtId="0" fontId="45" fillId="0" borderId="10" xfId="0" applyFont="1" applyBorder="1" applyAlignment="1">
      <alignment vertical="center" wrapText="1"/>
    </xf>
    <xf numFmtId="0" fontId="0" fillId="15" borderId="52" xfId="0" applyFill="1" applyBorder="1" applyAlignment="1">
      <alignment horizontal="center" vertical="center" wrapText="1"/>
    </xf>
    <xf numFmtId="0" fontId="0" fillId="15" borderId="1" xfId="0" applyFill="1" applyBorder="1" applyAlignment="1">
      <alignment horizontal="center" vertical="center" wrapText="1"/>
    </xf>
    <xf numFmtId="0" fontId="0" fillId="15" borderId="2" xfId="0" applyFill="1" applyBorder="1" applyAlignment="1">
      <alignment horizontal="center" vertical="center" wrapText="1"/>
    </xf>
    <xf numFmtId="0" fontId="0" fillId="15" borderId="49" xfId="0" applyFill="1" applyBorder="1" applyAlignment="1">
      <alignment horizontal="left" vertical="center" wrapText="1"/>
    </xf>
    <xf numFmtId="0" fontId="0" fillId="15" borderId="60" xfId="0" applyFill="1" applyBorder="1" applyAlignment="1">
      <alignment horizontal="left" vertical="center" wrapText="1"/>
    </xf>
    <xf numFmtId="0" fontId="0" fillId="15" borderId="65" xfId="0" applyFill="1" applyBorder="1" applyAlignment="1">
      <alignment horizontal="left" vertical="center" wrapText="1"/>
    </xf>
    <xf numFmtId="0" fontId="54" fillId="21" borderId="91" xfId="0" applyFont="1" applyFill="1" applyBorder="1" applyAlignment="1">
      <alignment horizontal="center" vertical="center"/>
    </xf>
    <xf numFmtId="0" fontId="54" fillId="21" borderId="92" xfId="0" applyFont="1" applyFill="1" applyBorder="1" applyAlignment="1">
      <alignment horizontal="center" vertical="center"/>
    </xf>
    <xf numFmtId="0" fontId="54" fillId="21" borderId="93" xfId="0" applyFont="1" applyFill="1" applyBorder="1" applyAlignment="1">
      <alignment horizontal="center" vertical="center"/>
    </xf>
    <xf numFmtId="0" fontId="0" fillId="21" borderId="91" xfId="0" applyFill="1" applyBorder="1" applyAlignment="1">
      <alignment horizontal="center" vertical="center"/>
    </xf>
    <xf numFmtId="0" fontId="0" fillId="21" borderId="92" xfId="0" applyFill="1" applyBorder="1" applyAlignment="1">
      <alignment horizontal="center" vertical="center"/>
    </xf>
    <xf numFmtId="0" fontId="0" fillId="21" borderId="93" xfId="0" applyFill="1" applyBorder="1" applyAlignment="1">
      <alignment horizontal="center" vertical="center"/>
    </xf>
    <xf numFmtId="0" fontId="0" fillId="8" borderId="91" xfId="0" applyFill="1" applyBorder="1" applyAlignment="1">
      <alignment horizontal="center" vertical="center"/>
    </xf>
    <xf numFmtId="0" fontId="0" fillId="8" borderId="92" xfId="0" applyFill="1" applyBorder="1" applyAlignment="1">
      <alignment horizontal="center" vertical="center"/>
    </xf>
    <xf numFmtId="0" fontId="0" fillId="8" borderId="93" xfId="0" applyFill="1" applyBorder="1" applyAlignment="1">
      <alignment horizontal="center" vertical="center"/>
    </xf>
    <xf numFmtId="0" fontId="6" fillId="0" borderId="47" xfId="0" applyFont="1" applyBorder="1" applyAlignment="1">
      <alignment horizontal="center" vertical="center"/>
    </xf>
    <xf numFmtId="0" fontId="6" fillId="0" borderId="17" xfId="0" applyFont="1" applyBorder="1" applyAlignment="1">
      <alignment horizontal="center" vertical="center"/>
    </xf>
    <xf numFmtId="0" fontId="6" fillId="0" borderId="56" xfId="0" applyFont="1" applyBorder="1" applyAlignment="1">
      <alignment horizontal="center" vertical="center"/>
    </xf>
    <xf numFmtId="166" fontId="6" fillId="7" borderId="48" xfId="0" applyNumberFormat="1" applyFont="1" applyFill="1" applyBorder="1" applyAlignment="1">
      <alignment horizontal="center" vertical="center"/>
    </xf>
    <xf numFmtId="166" fontId="6" fillId="7" borderId="14" xfId="0" applyNumberFormat="1" applyFont="1" applyFill="1" applyBorder="1" applyAlignment="1">
      <alignment horizontal="center" vertical="center"/>
    </xf>
    <xf numFmtId="166" fontId="6" fillId="7" borderId="57" xfId="0" applyNumberFormat="1" applyFont="1" applyFill="1" applyBorder="1" applyAlignment="1">
      <alignment horizontal="center" vertical="center"/>
    </xf>
    <xf numFmtId="177" fontId="39" fillId="7" borderId="49" xfId="0" applyNumberFormat="1" applyFont="1" applyFill="1" applyBorder="1" applyAlignment="1">
      <alignment horizontal="right" vertical="center" wrapText="1"/>
    </xf>
    <xf numFmtId="177" fontId="39" fillId="7" borderId="65" xfId="0" applyNumberFormat="1" applyFont="1" applyFill="1" applyBorder="1" applyAlignment="1">
      <alignment horizontal="right" vertical="center" wrapText="1"/>
    </xf>
    <xf numFmtId="177" fontId="39" fillId="7" borderId="59" xfId="0" applyNumberFormat="1" applyFont="1" applyFill="1" applyBorder="1" applyAlignment="1">
      <alignment horizontal="right" vertical="center" wrapText="1"/>
    </xf>
    <xf numFmtId="167" fontId="39" fillId="23" borderId="49" xfId="0" applyNumberFormat="1" applyFont="1" applyFill="1" applyBorder="1" applyAlignment="1">
      <alignment horizontal="right" vertical="center"/>
    </xf>
    <xf numFmtId="167" fontId="39" fillId="23" borderId="65" xfId="0" applyNumberFormat="1" applyFont="1" applyFill="1" applyBorder="1" applyAlignment="1">
      <alignment horizontal="right" vertical="center"/>
    </xf>
    <xf numFmtId="167" fontId="39" fillId="23" borderId="59" xfId="0" applyNumberFormat="1" applyFont="1" applyFill="1" applyBorder="1" applyAlignment="1">
      <alignment horizontal="right" vertical="center"/>
    </xf>
    <xf numFmtId="167" fontId="6" fillId="15" borderId="75" xfId="0" applyNumberFormat="1" applyFont="1" applyFill="1" applyBorder="1" applyAlignment="1">
      <alignment horizontal="center" vertical="center"/>
    </xf>
    <xf numFmtId="167" fontId="6" fillId="15" borderId="6" xfId="0" applyNumberFormat="1" applyFont="1" applyFill="1" applyBorder="1" applyAlignment="1">
      <alignment horizontal="center" vertical="center"/>
    </xf>
    <xf numFmtId="167" fontId="6" fillId="15" borderId="4" xfId="0" applyNumberFormat="1" applyFont="1" applyFill="1" applyBorder="1" applyAlignment="1">
      <alignment horizontal="center" vertical="center"/>
    </xf>
    <xf numFmtId="169" fontId="6" fillId="15" borderId="52" xfId="0" applyNumberFormat="1" applyFont="1" applyFill="1" applyBorder="1" applyAlignment="1">
      <alignment horizontal="center" vertical="center"/>
    </xf>
    <xf numFmtId="169" fontId="6" fillId="15" borderId="2" xfId="0" applyNumberFormat="1" applyFont="1" applyFill="1" applyBorder="1" applyAlignment="1">
      <alignment horizontal="center" vertical="center"/>
    </xf>
    <xf numFmtId="169" fontId="6" fillId="15" borderId="55" xfId="0" applyNumberFormat="1" applyFont="1" applyFill="1" applyBorder="1" applyAlignment="1">
      <alignment horizontal="center" vertical="center"/>
    </xf>
    <xf numFmtId="166" fontId="6" fillId="15" borderId="52" xfId="1" applyNumberFormat="1" applyFont="1" applyFill="1" applyBorder="1" applyAlignment="1">
      <alignment horizontal="center" vertical="center"/>
    </xf>
    <xf numFmtId="166" fontId="6" fillId="15" borderId="2" xfId="1" applyNumberFormat="1" applyFont="1" applyFill="1" applyBorder="1" applyAlignment="1">
      <alignment horizontal="center" vertical="center"/>
    </xf>
    <xf numFmtId="166" fontId="6" fillId="15" borderId="55" xfId="1" applyNumberFormat="1" applyFont="1" applyFill="1" applyBorder="1" applyAlignment="1">
      <alignment horizontal="center" vertical="center"/>
    </xf>
    <xf numFmtId="0" fontId="39" fillId="8" borderId="80" xfId="0" applyFont="1" applyFill="1" applyBorder="1" applyAlignment="1">
      <alignment horizontal="center" vertical="center"/>
    </xf>
    <xf numFmtId="0" fontId="39" fillId="8" borderId="82" xfId="0" applyFont="1" applyFill="1" applyBorder="1" applyAlignment="1">
      <alignment horizontal="center" vertical="center"/>
    </xf>
    <xf numFmtId="0" fontId="39" fillId="8" borderId="89" xfId="0" applyFont="1" applyFill="1" applyBorder="1" applyAlignment="1">
      <alignment horizontal="center" vertical="center"/>
    </xf>
    <xf numFmtId="0" fontId="6" fillId="0" borderId="81" xfId="0" applyFont="1" applyBorder="1" applyAlignment="1">
      <alignment horizontal="center" vertical="center"/>
    </xf>
    <xf numFmtId="0" fontId="6" fillId="0" borderId="83" xfId="0" applyFont="1" applyBorder="1" applyAlignment="1">
      <alignment horizontal="center" vertical="center"/>
    </xf>
    <xf numFmtId="0" fontId="6" fillId="0" borderId="85" xfId="0" applyFont="1" applyBorder="1" applyAlignment="1">
      <alignment horizontal="center" vertical="center"/>
    </xf>
    <xf numFmtId="0" fontId="0" fillId="0" borderId="48" xfId="0" applyBorder="1" applyAlignment="1">
      <alignment horizontal="center" vertical="center"/>
    </xf>
    <xf numFmtId="0" fontId="0" fillId="0" borderId="14" xfId="0" applyBorder="1" applyAlignment="1">
      <alignment horizontal="center" vertical="center"/>
    </xf>
    <xf numFmtId="0" fontId="0" fillId="0" borderId="57" xfId="0" applyBorder="1" applyAlignment="1">
      <alignment horizontal="center" vertical="center"/>
    </xf>
    <xf numFmtId="0" fontId="0" fillId="0" borderId="48" xfId="0" applyBorder="1" applyAlignment="1">
      <alignment horizontal="left" vertical="center" wrapText="1"/>
    </xf>
    <xf numFmtId="0" fontId="0" fillId="0" borderId="14" xfId="0" applyBorder="1" applyAlignment="1">
      <alignment horizontal="left" vertical="center" wrapText="1"/>
    </xf>
    <xf numFmtId="0" fontId="0" fillId="0" borderId="57" xfId="0" applyBorder="1" applyAlignment="1">
      <alignment horizontal="left" vertical="center" wrapText="1"/>
    </xf>
    <xf numFmtId="0" fontId="6" fillId="15" borderId="88" xfId="0" applyFont="1" applyFill="1" applyBorder="1" applyAlignment="1">
      <alignment horizontal="center" vertical="center"/>
    </xf>
    <xf numFmtId="0" fontId="6" fillId="15" borderId="35" xfId="0" applyFont="1" applyFill="1" applyBorder="1" applyAlignment="1">
      <alignment horizontal="center" vertical="center"/>
    </xf>
    <xf numFmtId="0" fontId="6" fillId="15" borderId="90" xfId="0" applyFont="1" applyFill="1" applyBorder="1" applyAlignment="1">
      <alignment horizontal="center" vertical="center"/>
    </xf>
    <xf numFmtId="0" fontId="6" fillId="15" borderId="46" xfId="0" applyFont="1" applyFill="1" applyBorder="1" applyAlignment="1">
      <alignment horizontal="center" vertical="center"/>
    </xf>
    <xf numFmtId="0" fontId="6" fillId="15" borderId="15" xfId="0" applyFont="1" applyFill="1" applyBorder="1" applyAlignment="1">
      <alignment horizontal="center" vertical="center"/>
    </xf>
    <xf numFmtId="169" fontId="6" fillId="15" borderId="52" xfId="0" applyNumberFormat="1" applyFont="1" applyFill="1" applyBorder="1" applyAlignment="1">
      <alignment horizontal="center" vertical="center" wrapText="1"/>
    </xf>
    <xf numFmtId="169" fontId="6" fillId="15" borderId="2" xfId="0" applyNumberFormat="1" applyFont="1" applyFill="1" applyBorder="1" applyAlignment="1">
      <alignment horizontal="center" vertical="center" wrapText="1"/>
    </xf>
    <xf numFmtId="169" fontId="6" fillId="15" borderId="55" xfId="0" applyNumberFormat="1" applyFont="1" applyFill="1" applyBorder="1" applyAlignment="1">
      <alignment horizontal="center" vertical="center" wrapText="1"/>
    </xf>
    <xf numFmtId="169" fontId="6" fillId="15" borderId="1" xfId="0" applyNumberFormat="1" applyFont="1" applyFill="1" applyBorder="1" applyAlignment="1">
      <alignment horizontal="center" vertical="center" wrapText="1"/>
    </xf>
    <xf numFmtId="169" fontId="6" fillId="15" borderId="9" xfId="0" applyNumberFormat="1" applyFont="1" applyFill="1" applyBorder="1" applyAlignment="1">
      <alignment horizontal="center" vertical="center" wrapText="1"/>
    </xf>
    <xf numFmtId="169" fontId="6" fillId="15" borderId="1" xfId="0" applyNumberFormat="1" applyFont="1" applyFill="1" applyBorder="1" applyAlignment="1">
      <alignment horizontal="center" vertical="center"/>
    </xf>
    <xf numFmtId="169" fontId="6" fillId="15" borderId="9" xfId="0" applyNumberFormat="1" applyFont="1" applyFill="1" applyBorder="1" applyAlignment="1">
      <alignment horizontal="center" vertical="center"/>
    </xf>
    <xf numFmtId="166" fontId="6" fillId="15" borderId="1" xfId="1" applyNumberFormat="1" applyFont="1" applyFill="1" applyBorder="1" applyAlignment="1">
      <alignment horizontal="center" vertical="center"/>
    </xf>
    <xf numFmtId="166" fontId="6" fillId="15" borderId="9" xfId="1" applyNumberFormat="1" applyFont="1" applyFill="1" applyBorder="1" applyAlignment="1">
      <alignment horizontal="center" vertical="center"/>
    </xf>
    <xf numFmtId="177" fontId="39" fillId="7" borderId="7" xfId="0" applyNumberFormat="1" applyFont="1" applyFill="1" applyBorder="1" applyAlignment="1">
      <alignment horizontal="right" vertical="center" wrapText="1"/>
    </xf>
    <xf numFmtId="177" fontId="39" fillId="7" borderId="5" xfId="0" applyNumberFormat="1" applyFont="1" applyFill="1" applyBorder="1" applyAlignment="1">
      <alignment horizontal="right" vertical="center" wrapText="1"/>
    </xf>
    <xf numFmtId="177" fontId="39" fillId="7" borderId="3" xfId="0" applyNumberFormat="1" applyFont="1" applyFill="1" applyBorder="1" applyAlignment="1">
      <alignment horizontal="right" vertical="center" wrapText="1"/>
    </xf>
    <xf numFmtId="167" fontId="39" fillId="23" borderId="60" xfId="0" applyNumberFormat="1" applyFont="1" applyFill="1" applyBorder="1" applyAlignment="1">
      <alignment horizontal="right" vertical="center"/>
    </xf>
    <xf numFmtId="167" fontId="39" fillId="23" borderId="61" xfId="0" applyNumberFormat="1" applyFont="1" applyFill="1" applyBorder="1" applyAlignment="1">
      <alignment horizontal="right" vertical="center"/>
    </xf>
    <xf numFmtId="177" fontId="39" fillId="7" borderId="73" xfId="0" applyNumberFormat="1" applyFont="1" applyFill="1" applyBorder="1" applyAlignment="1">
      <alignment horizontal="right" vertical="center" wrapText="1"/>
    </xf>
    <xf numFmtId="177" fontId="39" fillId="7" borderId="86" xfId="0" applyNumberFormat="1" applyFont="1" applyFill="1" applyBorder="1" applyAlignment="1">
      <alignment horizontal="right" vertical="center" wrapText="1"/>
    </xf>
    <xf numFmtId="0" fontId="6" fillId="0" borderId="48"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57" xfId="0" applyFont="1" applyBorder="1" applyAlignment="1">
      <alignment horizontal="center" vertical="center" wrapText="1"/>
    </xf>
    <xf numFmtId="0" fontId="6" fillId="0" borderId="48" xfId="0" applyFont="1" applyBorder="1" applyAlignment="1">
      <alignment horizontal="left" vertical="center" wrapText="1"/>
    </xf>
    <xf numFmtId="0" fontId="6" fillId="0" borderId="14" xfId="0" applyFont="1" applyBorder="1" applyAlignment="1">
      <alignment horizontal="left" vertical="center" wrapText="1"/>
    </xf>
    <xf numFmtId="0" fontId="6" fillId="0" borderId="57" xfId="0" applyFont="1" applyBorder="1" applyAlignment="1">
      <alignment horizontal="left" vertical="center" wrapText="1"/>
    </xf>
    <xf numFmtId="0" fontId="6" fillId="0" borderId="77" xfId="0" applyFont="1" applyBorder="1" applyAlignment="1">
      <alignment horizontal="center" vertical="center"/>
    </xf>
    <xf numFmtId="0" fontId="6" fillId="0" borderId="9" xfId="0" applyFont="1" applyBorder="1" applyAlignment="1">
      <alignment horizontal="center" vertical="center" wrapText="1"/>
    </xf>
    <xf numFmtId="0" fontId="6" fillId="0" borderId="9" xfId="0" applyFont="1" applyBorder="1" applyAlignment="1">
      <alignment horizontal="left" vertical="center" wrapText="1"/>
    </xf>
    <xf numFmtId="0" fontId="6" fillId="0" borderId="63"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169" fontId="6" fillId="15" borderId="48" xfId="0" applyNumberFormat="1" applyFont="1" applyFill="1" applyBorder="1" applyAlignment="1">
      <alignment horizontal="center" vertical="center"/>
    </xf>
    <xf numFmtId="169" fontId="6" fillId="15" borderId="14" xfId="0" applyNumberFormat="1" applyFont="1" applyFill="1" applyBorder="1" applyAlignment="1">
      <alignment horizontal="center" vertical="center"/>
    </xf>
    <xf numFmtId="169" fontId="6" fillId="15" borderId="57" xfId="0" applyNumberFormat="1" applyFont="1" applyFill="1" applyBorder="1" applyAlignment="1">
      <alignment horizontal="center" vertical="center"/>
    </xf>
    <xf numFmtId="166" fontId="6" fillId="15" borderId="48" xfId="1" applyNumberFormat="1" applyFont="1" applyFill="1" applyBorder="1" applyAlignment="1">
      <alignment horizontal="center" vertical="center"/>
    </xf>
    <xf numFmtId="166" fontId="6" fillId="15" borderId="14" xfId="1" applyNumberFormat="1" applyFont="1" applyFill="1" applyBorder="1" applyAlignment="1">
      <alignment horizontal="center" vertical="center"/>
    </xf>
    <xf numFmtId="166" fontId="6" fillId="15" borderId="57" xfId="1" applyNumberFormat="1" applyFont="1" applyFill="1" applyBorder="1" applyAlignment="1">
      <alignment horizontal="center" vertical="center"/>
    </xf>
    <xf numFmtId="169" fontId="6" fillId="15" borderId="14" xfId="0" applyNumberFormat="1" applyFont="1" applyFill="1" applyBorder="1" applyAlignment="1">
      <alignment horizontal="center" vertical="center" wrapText="1"/>
    </xf>
    <xf numFmtId="169" fontId="6" fillId="15" borderId="57" xfId="0" applyNumberFormat="1" applyFont="1" applyFill="1" applyBorder="1" applyAlignment="1">
      <alignment horizontal="center" vertical="center" wrapText="1"/>
    </xf>
    <xf numFmtId="0" fontId="6" fillId="0" borderId="53" xfId="0" applyFont="1" applyBorder="1" applyAlignment="1">
      <alignment horizontal="left" vertical="center" wrapText="1"/>
    </xf>
    <xf numFmtId="0" fontId="6" fillId="0" borderId="51" xfId="0" applyFont="1" applyBorder="1" applyAlignment="1">
      <alignment horizontal="left" vertical="center" wrapText="1"/>
    </xf>
    <xf numFmtId="0" fontId="6" fillId="0" borderId="58" xfId="0" applyFont="1" applyBorder="1" applyAlignment="1">
      <alignment horizontal="left" vertical="center" wrapText="1"/>
    </xf>
    <xf numFmtId="169" fontId="6" fillId="15" borderId="48" xfId="0" applyNumberFormat="1" applyFont="1" applyFill="1" applyBorder="1" applyAlignment="1">
      <alignment horizontal="center" vertical="center" wrapText="1"/>
    </xf>
    <xf numFmtId="166" fontId="6" fillId="15" borderId="7" xfId="1" applyNumberFormat="1" applyFont="1" applyFill="1" applyBorder="1" applyAlignment="1">
      <alignment horizontal="center" vertical="center"/>
    </xf>
    <xf numFmtId="166" fontId="6" fillId="15" borderId="5" xfId="1" applyNumberFormat="1" applyFont="1" applyFill="1" applyBorder="1" applyAlignment="1">
      <alignment horizontal="center" vertical="center"/>
    </xf>
    <xf numFmtId="166" fontId="6" fillId="15" borderId="86" xfId="1" applyNumberFormat="1" applyFont="1" applyFill="1" applyBorder="1" applyAlignment="1">
      <alignment horizontal="center" vertical="center"/>
    </xf>
    <xf numFmtId="0" fontId="0" fillId="15" borderId="55" xfId="0" applyFill="1" applyBorder="1" applyAlignment="1">
      <alignment horizontal="center" vertical="center" wrapText="1"/>
    </xf>
    <xf numFmtId="0" fontId="0" fillId="15" borderId="59" xfId="0" applyFill="1" applyBorder="1" applyAlignment="1">
      <alignment horizontal="left" vertical="center" wrapText="1"/>
    </xf>
    <xf numFmtId="176" fontId="39" fillId="7" borderId="73" xfId="0" applyNumberFormat="1" applyFont="1" applyFill="1" applyBorder="1" applyAlignment="1">
      <alignment horizontal="center" vertical="center" wrapText="1"/>
    </xf>
    <xf numFmtId="176" fontId="39" fillId="7" borderId="5" xfId="0" applyNumberFormat="1" applyFont="1" applyFill="1" applyBorder="1" applyAlignment="1">
      <alignment horizontal="center" vertical="center" wrapText="1"/>
    </xf>
    <xf numFmtId="176" fontId="39" fillId="7" borderId="86" xfId="0" applyNumberFormat="1" applyFont="1" applyFill="1" applyBorder="1" applyAlignment="1">
      <alignment horizontal="center" vertical="center" wrapText="1"/>
    </xf>
    <xf numFmtId="167" fontId="6" fillId="15" borderId="87" xfId="0" applyNumberFormat="1" applyFont="1" applyFill="1" applyBorder="1" applyAlignment="1">
      <alignment horizontal="center" vertical="center"/>
    </xf>
    <xf numFmtId="0" fontId="6" fillId="0" borderId="61" xfId="0" applyFont="1" applyBorder="1" applyAlignment="1">
      <alignment horizontal="left" vertical="center" wrapText="1"/>
    </xf>
    <xf numFmtId="0" fontId="6" fillId="15" borderId="45" xfId="0" applyFont="1" applyFill="1" applyBorder="1" applyAlignment="1">
      <alignment horizontal="center" vertical="center"/>
    </xf>
    <xf numFmtId="0" fontId="6" fillId="15" borderId="50" xfId="0" applyFont="1" applyFill="1" applyBorder="1" applyAlignment="1">
      <alignment horizontal="center" vertical="center"/>
    </xf>
    <xf numFmtId="0" fontId="6" fillId="15" borderId="54" xfId="0" applyFont="1" applyFill="1" applyBorder="1" applyAlignment="1">
      <alignment horizontal="center" vertical="center"/>
    </xf>
    <xf numFmtId="0" fontId="32" fillId="21" borderId="53" xfId="0" applyFont="1" applyFill="1" applyBorder="1" applyAlignment="1">
      <alignment horizontal="center" vertical="center" wrapText="1"/>
    </xf>
    <xf numFmtId="0" fontId="32" fillId="21" borderId="51" xfId="0" applyFont="1" applyFill="1" applyBorder="1" applyAlignment="1">
      <alignment horizontal="center" vertical="center" wrapText="1"/>
    </xf>
    <xf numFmtId="169" fontId="37" fillId="22" borderId="74" xfId="0" applyNumberFormat="1" applyFont="1" applyFill="1" applyBorder="1" applyAlignment="1">
      <alignment horizontal="center" vertical="center" wrapText="1"/>
    </xf>
    <xf numFmtId="169" fontId="37" fillId="22" borderId="78" xfId="0" applyNumberFormat="1" applyFont="1" applyFill="1" applyBorder="1" applyAlignment="1">
      <alignment horizontal="center" vertical="center" wrapText="1"/>
    </xf>
    <xf numFmtId="169" fontId="37" fillId="22" borderId="76" xfId="0" applyNumberFormat="1" applyFont="1" applyFill="1" applyBorder="1" applyAlignment="1">
      <alignment horizontal="center" vertical="center" wrapText="1"/>
    </xf>
    <xf numFmtId="169" fontId="37" fillId="22" borderId="79" xfId="0" applyNumberFormat="1" applyFont="1" applyFill="1" applyBorder="1" applyAlignment="1">
      <alignment horizontal="center" vertical="center" wrapText="1"/>
    </xf>
    <xf numFmtId="169" fontId="39" fillId="9" borderId="4" xfId="0" applyNumberFormat="1" applyFont="1" applyFill="1" applyBorder="1" applyAlignment="1">
      <alignment horizontal="center" vertical="center" wrapText="1"/>
    </xf>
    <xf numFmtId="169" fontId="39" fillId="9" borderId="8" xfId="0" applyNumberFormat="1" applyFont="1" applyFill="1" applyBorder="1" applyAlignment="1">
      <alignment horizontal="center" vertical="center" wrapText="1"/>
    </xf>
    <xf numFmtId="0" fontId="32" fillId="21" borderId="62" xfId="0" applyFont="1" applyFill="1" applyBorder="1" applyAlignment="1">
      <alignment horizontal="center" vertical="center" wrapText="1"/>
    </xf>
    <xf numFmtId="0" fontId="32" fillId="21" borderId="77" xfId="0" applyFont="1" applyFill="1" applyBorder="1" applyAlignment="1">
      <alignment horizontal="center" vertical="center" wrapText="1"/>
    </xf>
    <xf numFmtId="0" fontId="32" fillId="3" borderId="52" xfId="0" applyFont="1" applyFill="1" applyBorder="1" applyAlignment="1">
      <alignment horizontal="center" vertical="center" wrapText="1"/>
    </xf>
    <xf numFmtId="0" fontId="32" fillId="3" borderId="9" xfId="0" applyFont="1" applyFill="1" applyBorder="1" applyAlignment="1">
      <alignment horizontal="center" vertical="center" wrapText="1"/>
    </xf>
    <xf numFmtId="0" fontId="64" fillId="4" borderId="73" xfId="0" applyFont="1" applyFill="1" applyBorder="1" applyAlignment="1">
      <alignment horizontal="center" vertical="center" wrapText="1"/>
    </xf>
    <xf numFmtId="0" fontId="64" fillId="4" borderId="3" xfId="0" applyFont="1" applyFill="1" applyBorder="1" applyAlignment="1">
      <alignment horizontal="center" vertical="center" wrapText="1"/>
    </xf>
    <xf numFmtId="0" fontId="32" fillId="3" borderId="74" xfId="0" applyFont="1" applyFill="1" applyBorder="1" applyAlignment="1">
      <alignment horizontal="center" vertical="center" wrapText="1"/>
    </xf>
    <xf numFmtId="0" fontId="32" fillId="3" borderId="78" xfId="0" applyFont="1" applyFill="1" applyBorder="1" applyAlignment="1">
      <alignment horizontal="center" vertical="center" wrapText="1"/>
    </xf>
    <xf numFmtId="167" fontId="32" fillId="5" borderId="75" xfId="0" applyNumberFormat="1" applyFont="1" applyFill="1" applyBorder="1" applyAlignment="1">
      <alignment horizontal="center" vertical="center" wrapText="1"/>
    </xf>
    <xf numFmtId="167" fontId="32" fillId="5" borderId="8" xfId="0" applyNumberFormat="1" applyFont="1" applyFill="1" applyBorder="1" applyAlignment="1">
      <alignment horizontal="center" vertical="center" wrapText="1"/>
    </xf>
    <xf numFmtId="0" fontId="67" fillId="4" borderId="2" xfId="0" applyFont="1" applyFill="1" applyBorder="1" applyAlignment="1">
      <alignment horizontal="center" vertical="center"/>
    </xf>
    <xf numFmtId="0" fontId="67" fillId="4" borderId="9" xfId="0" applyFont="1" applyFill="1" applyBorder="1" applyAlignment="1">
      <alignment horizontal="center" vertical="center"/>
    </xf>
    <xf numFmtId="0" fontId="39" fillId="4" borderId="3" xfId="0" applyFont="1" applyFill="1" applyBorder="1" applyAlignment="1">
      <alignment horizontal="center" vertical="center"/>
    </xf>
    <xf numFmtId="0" fontId="39" fillId="4" borderId="42" xfId="0" applyFont="1" applyFill="1" applyBorder="1" applyAlignment="1">
      <alignment horizontal="center" vertical="center"/>
    </xf>
    <xf numFmtId="0" fontId="39" fillId="4" borderId="8" xfId="0" applyFont="1" applyFill="1" applyBorder="1" applyAlignment="1">
      <alignment horizontal="center" vertical="center"/>
    </xf>
    <xf numFmtId="0" fontId="39" fillId="4" borderId="37" xfId="0" applyFont="1" applyFill="1" applyBorder="1" applyAlignment="1">
      <alignment horizontal="center" vertical="center"/>
    </xf>
    <xf numFmtId="0" fontId="39" fillId="4" borderId="0" xfId="0" applyFont="1" applyFill="1" applyAlignment="1">
      <alignment horizontal="center" vertical="center"/>
    </xf>
    <xf numFmtId="0" fontId="39" fillId="4" borderId="18" xfId="0" applyFont="1" applyFill="1" applyBorder="1" applyAlignment="1">
      <alignment horizontal="center" vertical="center"/>
    </xf>
    <xf numFmtId="0" fontId="32" fillId="4" borderId="2" xfId="0" applyFont="1" applyFill="1" applyBorder="1" applyAlignment="1">
      <alignment horizontal="center" vertical="center" wrapText="1"/>
    </xf>
    <xf numFmtId="0" fontId="32" fillId="4" borderId="9" xfId="0" applyFont="1" applyFill="1" applyBorder="1" applyAlignment="1">
      <alignment horizontal="center" vertical="center" wrapText="1"/>
    </xf>
    <xf numFmtId="0" fontId="32" fillId="2" borderId="2" xfId="0" applyFont="1" applyFill="1" applyBorder="1" applyAlignment="1">
      <alignment horizontal="center" vertical="center" wrapText="1"/>
    </xf>
    <xf numFmtId="0" fontId="32" fillId="2" borderId="9" xfId="0" applyFont="1" applyFill="1" applyBorder="1" applyAlignment="1">
      <alignment horizontal="center" vertical="center" wrapText="1"/>
    </xf>
    <xf numFmtId="0" fontId="32" fillId="2" borderId="5" xfId="0" applyFont="1" applyFill="1" applyBorder="1" applyAlignment="1">
      <alignment horizontal="center" vertical="center" wrapText="1"/>
    </xf>
    <xf numFmtId="0" fontId="32" fillId="2" borderId="3" xfId="0" applyFont="1" applyFill="1" applyBorder="1" applyAlignment="1">
      <alignment horizontal="center" vertical="center" wrapText="1"/>
    </xf>
    <xf numFmtId="0" fontId="32" fillId="21" borderId="52" xfId="0" applyFont="1" applyFill="1" applyBorder="1" applyAlignment="1">
      <alignment horizontal="center" vertical="center" wrapText="1"/>
    </xf>
    <xf numFmtId="0" fontId="32" fillId="21" borderId="9" xfId="0" applyFont="1" applyFill="1" applyBorder="1" applyAlignment="1">
      <alignment horizontal="center" vertical="center" wrapText="1"/>
    </xf>
    <xf numFmtId="0" fontId="64" fillId="21" borderId="49" xfId="0" applyFont="1" applyFill="1" applyBorder="1" applyAlignment="1">
      <alignment horizontal="center" vertical="center" wrapText="1"/>
    </xf>
    <xf numFmtId="0" fontId="64" fillId="21" borderId="61" xfId="0" applyFont="1" applyFill="1" applyBorder="1" applyAlignment="1">
      <alignment horizontal="center" vertical="center" wrapText="1"/>
    </xf>
    <xf numFmtId="169" fontId="39" fillId="9" borderId="2" xfId="0" applyNumberFormat="1" applyFont="1" applyFill="1" applyBorder="1" applyAlignment="1">
      <alignment horizontal="center" vertical="center" wrapText="1"/>
    </xf>
    <xf numFmtId="169" fontId="39" fillId="9" borderId="9" xfId="0" applyNumberFormat="1" applyFont="1" applyFill="1" applyBorder="1" applyAlignment="1">
      <alignment horizontal="center" vertical="center" wrapText="1"/>
    </xf>
    <xf numFmtId="167" fontId="39" fillId="6" borderId="2" xfId="0" applyNumberFormat="1" applyFont="1" applyFill="1" applyBorder="1" applyAlignment="1">
      <alignment horizontal="center" vertical="center" wrapText="1"/>
    </xf>
    <xf numFmtId="167" fontId="39" fillId="6" borderId="9" xfId="0" applyNumberFormat="1" applyFont="1" applyFill="1" applyBorder="1" applyAlignment="1">
      <alignment horizontal="center" vertical="center" wrapText="1"/>
    </xf>
    <xf numFmtId="0" fontId="39" fillId="6" borderId="2" xfId="0" applyFont="1" applyFill="1" applyBorder="1" applyAlignment="1">
      <alignment horizontal="center" vertical="center" wrapText="1"/>
    </xf>
    <xf numFmtId="0" fontId="39" fillId="6" borderId="9" xfId="0" applyFont="1" applyFill="1" applyBorder="1" applyAlignment="1">
      <alignment horizontal="center" vertical="center" wrapText="1"/>
    </xf>
    <xf numFmtId="0" fontId="54" fillId="4" borderId="2" xfId="0" applyFont="1" applyFill="1" applyBorder="1" applyAlignment="1">
      <alignment horizontal="center" vertical="center" wrapText="1"/>
    </xf>
    <xf numFmtId="0" fontId="54" fillId="4" borderId="9" xfId="0" applyFont="1" applyFill="1" applyBorder="1" applyAlignment="1">
      <alignment horizontal="center" vertical="center" wrapText="1"/>
    </xf>
    <xf numFmtId="0" fontId="54" fillId="11" borderId="2" xfId="0" applyFont="1" applyFill="1" applyBorder="1" applyAlignment="1">
      <alignment horizontal="center" vertical="center" wrapText="1"/>
    </xf>
    <xf numFmtId="0" fontId="54" fillId="11" borderId="9" xfId="0" applyFont="1" applyFill="1" applyBorder="1" applyAlignment="1">
      <alignment horizontal="center" vertical="center" wrapText="1"/>
    </xf>
    <xf numFmtId="169" fontId="39" fillId="6" borderId="2" xfId="0" applyNumberFormat="1" applyFont="1" applyFill="1" applyBorder="1" applyAlignment="1">
      <alignment horizontal="center" vertical="center" wrapText="1"/>
    </xf>
    <xf numFmtId="169" fontId="39" fillId="6" borderId="9" xfId="0" applyNumberFormat="1" applyFont="1" applyFill="1" applyBorder="1" applyAlignment="1">
      <alignment horizontal="center" vertical="center" wrapText="1"/>
    </xf>
    <xf numFmtId="0" fontId="43" fillId="10" borderId="2" xfId="0" applyFont="1" applyFill="1" applyBorder="1" applyAlignment="1">
      <alignment horizontal="center" vertical="center" wrapText="1"/>
    </xf>
    <xf numFmtId="168" fontId="43" fillId="10" borderId="2" xfId="5" applyNumberFormat="1" applyFont="1" applyFill="1" applyBorder="1" applyAlignment="1">
      <alignment horizontal="center" vertical="center"/>
    </xf>
    <xf numFmtId="0" fontId="0" fillId="0" borderId="2" xfId="0" applyBorder="1" applyAlignment="1">
      <alignment horizontal="center" vertical="center"/>
    </xf>
    <xf numFmtId="169" fontId="39" fillId="10" borderId="2" xfId="0" applyNumberFormat="1" applyFont="1" applyFill="1" applyBorder="1" applyAlignment="1">
      <alignment horizontal="center" vertical="center"/>
    </xf>
    <xf numFmtId="169" fontId="39" fillId="10" borderId="2" xfId="0" applyNumberFormat="1" applyFont="1" applyFill="1" applyBorder="1" applyAlignment="1">
      <alignment horizontal="center" vertical="center" wrapText="1"/>
    </xf>
    <xf numFmtId="166" fontId="39" fillId="10" borderId="2" xfId="1" applyNumberFormat="1" applyFont="1" applyFill="1" applyBorder="1" applyAlignment="1">
      <alignment horizontal="center" vertical="center"/>
    </xf>
    <xf numFmtId="0" fontId="43" fillId="15" borderId="9" xfId="0" applyFont="1" applyFill="1" applyBorder="1" applyAlignment="1">
      <alignment horizontal="center" vertical="center" wrapText="1"/>
    </xf>
    <xf numFmtId="0" fontId="43" fillId="15" borderId="14" xfId="0" applyFont="1" applyFill="1" applyBorder="1" applyAlignment="1">
      <alignment horizontal="center" vertical="center" wrapText="1"/>
    </xf>
    <xf numFmtId="168" fontId="43" fillId="15" borderId="9" xfId="5" applyNumberFormat="1" applyFont="1" applyFill="1" applyBorder="1" applyAlignment="1">
      <alignment horizontal="center" vertical="center"/>
    </xf>
    <xf numFmtId="168" fontId="43" fillId="15" borderId="14" xfId="5" applyNumberFormat="1" applyFont="1" applyFill="1" applyBorder="1" applyAlignment="1">
      <alignment horizontal="center" vertical="center"/>
    </xf>
    <xf numFmtId="0" fontId="0" fillId="15" borderId="2" xfId="0" applyFill="1" applyBorder="1" applyAlignment="1">
      <alignment horizontal="center" vertical="center"/>
    </xf>
    <xf numFmtId="0" fontId="0" fillId="15" borderId="9" xfId="0" applyFill="1" applyBorder="1" applyAlignment="1">
      <alignment horizontal="center" vertical="center"/>
    </xf>
    <xf numFmtId="0" fontId="39" fillId="8" borderId="10" xfId="0" applyFont="1" applyFill="1" applyBorder="1" applyAlignment="1">
      <alignment horizontal="center" vertical="center"/>
    </xf>
    <xf numFmtId="0" fontId="39" fillId="8" borderId="15" xfId="0" applyFont="1" applyFill="1" applyBorder="1" applyAlignment="1">
      <alignment horizontal="center" vertical="center"/>
    </xf>
    <xf numFmtId="0" fontId="6" fillId="0" borderId="10" xfId="0" applyFont="1" applyBorder="1" applyAlignment="1">
      <alignment horizontal="center" vertical="center"/>
    </xf>
    <xf numFmtId="0" fontId="6" fillId="0" borderId="12" xfId="0" applyFont="1" applyBorder="1" applyAlignment="1">
      <alignment horizontal="center" vertical="center"/>
    </xf>
    <xf numFmtId="0" fontId="6" fillId="0" borderId="2" xfId="0" applyFont="1" applyBorder="1" applyAlignment="1">
      <alignment horizontal="center" vertical="center" wrapText="1"/>
    </xf>
    <xf numFmtId="0" fontId="6" fillId="12" borderId="2" xfId="0" applyFont="1" applyFill="1" applyBorder="1" applyAlignment="1">
      <alignment horizontal="center" vertical="center"/>
    </xf>
    <xf numFmtId="0" fontId="6" fillId="0" borderId="2" xfId="0" applyFont="1" applyBorder="1" applyAlignment="1">
      <alignment horizontal="center" vertical="center"/>
    </xf>
    <xf numFmtId="169" fontId="39" fillId="15" borderId="9" xfId="0" applyNumberFormat="1" applyFont="1" applyFill="1" applyBorder="1" applyAlignment="1">
      <alignment horizontal="center" vertical="center"/>
    </xf>
    <xf numFmtId="169" fontId="39" fillId="15" borderId="14" xfId="0" applyNumberFormat="1" applyFont="1" applyFill="1" applyBorder="1" applyAlignment="1">
      <alignment horizontal="center" vertical="center"/>
    </xf>
    <xf numFmtId="169" fontId="39" fillId="15" borderId="9" xfId="0" applyNumberFormat="1" applyFont="1" applyFill="1" applyBorder="1" applyAlignment="1">
      <alignment horizontal="center" vertical="center" wrapText="1"/>
    </xf>
    <xf numFmtId="169" fontId="39" fillId="15" borderId="14" xfId="0" applyNumberFormat="1" applyFont="1" applyFill="1" applyBorder="1" applyAlignment="1">
      <alignment horizontal="center" vertical="center" wrapText="1"/>
    </xf>
    <xf numFmtId="166" fontId="39" fillId="15" borderId="9" xfId="1" applyNumberFormat="1" applyFont="1" applyFill="1" applyBorder="1" applyAlignment="1">
      <alignment horizontal="center" vertical="center"/>
    </xf>
    <xf numFmtId="166" fontId="39" fillId="15" borderId="14" xfId="1" applyNumberFormat="1" applyFont="1" applyFill="1" applyBorder="1" applyAlignment="1">
      <alignment horizontal="center" vertical="center"/>
    </xf>
    <xf numFmtId="0" fontId="6" fillId="15" borderId="10" xfId="0" applyFont="1" applyFill="1" applyBorder="1" applyAlignment="1">
      <alignment horizontal="center" vertical="center" wrapText="1"/>
    </xf>
    <xf numFmtId="0" fontId="6" fillId="15" borderId="15" xfId="0" applyFont="1" applyFill="1" applyBorder="1" applyAlignment="1">
      <alignment horizontal="center" vertical="center" wrapText="1"/>
    </xf>
    <xf numFmtId="0" fontId="6" fillId="15" borderId="10" xfId="0" applyFont="1" applyFill="1" applyBorder="1" applyAlignment="1">
      <alignment horizontal="center" vertical="center"/>
    </xf>
    <xf numFmtId="0" fontId="43" fillId="10" borderId="9" xfId="0" applyFont="1" applyFill="1" applyBorder="1" applyAlignment="1">
      <alignment horizontal="center" vertical="center" wrapText="1"/>
    </xf>
    <xf numFmtId="0" fontId="43" fillId="10" borderId="14" xfId="0" applyFont="1" applyFill="1" applyBorder="1" applyAlignment="1">
      <alignment horizontal="center" vertical="center" wrapText="1"/>
    </xf>
    <xf numFmtId="168" fontId="43" fillId="10" borderId="9" xfId="5" applyNumberFormat="1" applyFont="1" applyFill="1" applyBorder="1" applyAlignment="1">
      <alignment horizontal="center" vertical="center"/>
    </xf>
    <xf numFmtId="168" fontId="43" fillId="10" borderId="14" xfId="5" applyNumberFormat="1" applyFont="1" applyFill="1" applyBorder="1" applyAlignment="1">
      <alignment horizontal="center" vertical="center"/>
    </xf>
    <xf numFmtId="0" fontId="0" fillId="0" borderId="9" xfId="0" applyBorder="1" applyAlignment="1">
      <alignment horizontal="center" vertical="center"/>
    </xf>
    <xf numFmtId="0" fontId="0" fillId="0" borderId="1" xfId="0" applyBorder="1" applyAlignment="1">
      <alignment horizontal="center" vertical="center"/>
    </xf>
    <xf numFmtId="169" fontId="39" fillId="10" borderId="9" xfId="0" applyNumberFormat="1" applyFont="1" applyFill="1" applyBorder="1" applyAlignment="1">
      <alignment horizontal="center" vertical="center"/>
    </xf>
    <xf numFmtId="169" fontId="39" fillId="10" borderId="14" xfId="0" applyNumberFormat="1" applyFont="1" applyFill="1" applyBorder="1" applyAlignment="1">
      <alignment horizontal="center" vertical="center"/>
    </xf>
    <xf numFmtId="169" fontId="39" fillId="10" borderId="9" xfId="0" applyNumberFormat="1" applyFont="1" applyFill="1" applyBorder="1" applyAlignment="1">
      <alignment horizontal="center" vertical="center" wrapText="1"/>
    </xf>
    <xf numFmtId="169" fontId="39" fillId="10" borderId="14" xfId="0" applyNumberFormat="1" applyFont="1" applyFill="1" applyBorder="1" applyAlignment="1">
      <alignment horizontal="center" vertical="center" wrapText="1"/>
    </xf>
    <xf numFmtId="166" fontId="39" fillId="10" borderId="9" xfId="1" applyNumberFormat="1" applyFont="1" applyFill="1" applyBorder="1" applyAlignment="1">
      <alignment horizontal="center" vertical="center"/>
    </xf>
    <xf numFmtId="166" fontId="39" fillId="10" borderId="14" xfId="1" applyNumberFormat="1" applyFont="1" applyFill="1" applyBorder="1" applyAlignment="1">
      <alignment horizontal="center" vertical="center"/>
    </xf>
    <xf numFmtId="0" fontId="43" fillId="10" borderId="9" xfId="0" applyFont="1" applyFill="1" applyBorder="1" applyAlignment="1">
      <alignment horizontal="left" vertical="center" wrapText="1"/>
    </xf>
    <xf numFmtId="0" fontId="43" fillId="10" borderId="1" xfId="0" applyFont="1" applyFill="1" applyBorder="1" applyAlignment="1">
      <alignment horizontal="left" vertical="center" wrapText="1"/>
    </xf>
    <xf numFmtId="0" fontId="6" fillId="0" borderId="10" xfId="0" applyFont="1" applyBorder="1" applyAlignment="1">
      <alignment horizontal="center" vertical="center" wrapText="1"/>
    </xf>
    <xf numFmtId="0" fontId="6" fillId="0" borderId="15" xfId="0" applyFont="1" applyBorder="1" applyAlignment="1">
      <alignment horizontal="center" vertical="center" wrapText="1"/>
    </xf>
    <xf numFmtId="0" fontId="6" fillId="12" borderId="10" xfId="0" applyFont="1" applyFill="1" applyBorder="1" applyAlignment="1">
      <alignment horizontal="center" vertical="center"/>
    </xf>
    <xf numFmtId="0" fontId="6" fillId="12" borderId="15" xfId="0" applyFont="1" applyFill="1" applyBorder="1" applyAlignment="1">
      <alignment horizontal="center" vertical="center"/>
    </xf>
    <xf numFmtId="0" fontId="6" fillId="0" borderId="15" xfId="0" applyFont="1" applyBorder="1" applyAlignment="1">
      <alignment horizontal="center" vertical="center"/>
    </xf>
    <xf numFmtId="0" fontId="18" fillId="0" borderId="10" xfId="0" applyFont="1" applyBorder="1" applyAlignment="1">
      <alignment horizontal="center" vertical="center"/>
    </xf>
    <xf numFmtId="0" fontId="18" fillId="0" borderId="15" xfId="0" applyFont="1" applyBorder="1" applyAlignment="1">
      <alignment horizontal="center" vertical="center"/>
    </xf>
    <xf numFmtId="0" fontId="0" fillId="0" borderId="33" xfId="0" applyBorder="1" applyAlignment="1">
      <alignment horizontal="center" vertical="center"/>
    </xf>
    <xf numFmtId="0" fontId="0" fillId="0" borderId="21" xfId="0" applyBorder="1" applyAlignment="1">
      <alignment horizontal="center" vertical="center"/>
    </xf>
    <xf numFmtId="0" fontId="25" fillId="0" borderId="9" xfId="0" applyFont="1" applyBorder="1" applyAlignment="1">
      <alignment horizontal="center" vertical="center" wrapText="1"/>
    </xf>
    <xf numFmtId="0" fontId="25" fillId="0" borderId="14"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15" xfId="0" applyFont="1" applyBorder="1" applyAlignment="1">
      <alignment horizontal="center" vertical="center" wrapText="1"/>
    </xf>
    <xf numFmtId="0" fontId="73" fillId="12" borderId="29" xfId="0" applyFont="1" applyFill="1" applyBorder="1" applyAlignment="1">
      <alignment horizontal="center" vertical="center"/>
    </xf>
    <xf numFmtId="0" fontId="73" fillId="12" borderId="30" xfId="0" applyFont="1" applyFill="1" applyBorder="1" applyAlignment="1">
      <alignment horizontal="center" vertical="center"/>
    </xf>
    <xf numFmtId="0" fontId="73" fillId="12" borderId="10" xfId="0" applyFont="1" applyFill="1" applyBorder="1" applyAlignment="1">
      <alignment horizontal="center" vertical="center"/>
    </xf>
    <xf numFmtId="0" fontId="73" fillId="12" borderId="15" xfId="0" applyFont="1" applyFill="1" applyBorder="1" applyAlignment="1">
      <alignment horizontal="center" vertical="center"/>
    </xf>
    <xf numFmtId="0" fontId="18" fillId="0" borderId="30" xfId="0" applyFont="1" applyBorder="1" applyAlignment="1">
      <alignment horizontal="center" vertical="center"/>
    </xf>
    <xf numFmtId="0" fontId="18" fillId="0" borderId="31" xfId="0" applyFont="1" applyBorder="1" applyAlignment="1">
      <alignment horizontal="center" vertical="center"/>
    </xf>
    <xf numFmtId="169" fontId="39" fillId="10" borderId="1" xfId="0" applyNumberFormat="1" applyFont="1" applyFill="1" applyBorder="1" applyAlignment="1">
      <alignment horizontal="center" vertical="center"/>
    </xf>
    <xf numFmtId="0" fontId="43" fillId="10" borderId="1" xfId="0" applyFont="1" applyFill="1" applyBorder="1" applyAlignment="1">
      <alignment horizontal="center" vertical="center" wrapText="1"/>
    </xf>
    <xf numFmtId="0" fontId="18" fillId="0" borderId="2" xfId="0" applyFont="1" applyBorder="1" applyAlignment="1">
      <alignment horizontal="center" vertical="center"/>
    </xf>
    <xf numFmtId="0" fontId="0" fillId="0" borderId="22" xfId="0" applyBorder="1" applyAlignment="1">
      <alignment horizontal="center" vertical="center"/>
    </xf>
    <xf numFmtId="0" fontId="25" fillId="0" borderId="1"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34" xfId="0" applyFont="1" applyBorder="1" applyAlignment="1">
      <alignment horizontal="center" vertical="center" wrapText="1"/>
    </xf>
    <xf numFmtId="0" fontId="73" fillId="12" borderId="31" xfId="0" applyFont="1" applyFill="1" applyBorder="1" applyAlignment="1">
      <alignment horizontal="center" vertical="center"/>
    </xf>
    <xf numFmtId="0" fontId="73" fillId="12" borderId="12" xfId="0" applyFont="1" applyFill="1" applyBorder="1" applyAlignment="1">
      <alignment horizontal="center" vertical="center"/>
    </xf>
    <xf numFmtId="0" fontId="43" fillId="10" borderId="14" xfId="0" applyFont="1" applyFill="1" applyBorder="1" applyAlignment="1">
      <alignment horizontal="left" vertical="center" wrapText="1"/>
    </xf>
    <xf numFmtId="0" fontId="25" fillId="0" borderId="2" xfId="0" applyFont="1" applyBorder="1" applyAlignment="1">
      <alignment horizontal="center" vertical="center" wrapText="1"/>
    </xf>
    <xf numFmtId="0" fontId="16" fillId="0" borderId="2" xfId="0" applyFont="1" applyBorder="1" applyAlignment="1">
      <alignment horizontal="center" vertical="center" wrapText="1"/>
    </xf>
    <xf numFmtId="0" fontId="73" fillId="12" borderId="2" xfId="0" applyFont="1" applyFill="1" applyBorder="1" applyAlignment="1">
      <alignment horizontal="center" vertical="center"/>
    </xf>
    <xf numFmtId="0" fontId="25" fillId="0" borderId="10" xfId="0" applyFont="1" applyBorder="1" applyAlignment="1">
      <alignment horizontal="center" vertical="center" wrapText="1"/>
    </xf>
    <xf numFmtId="0" fontId="25"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4"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14" xfId="0" applyFont="1" applyBorder="1" applyAlignment="1">
      <alignment horizontal="center" vertical="center" wrapText="1"/>
    </xf>
    <xf numFmtId="0" fontId="16" fillId="0" borderId="9" xfId="0" applyFont="1" applyBorder="1" applyAlignment="1">
      <alignment horizontal="center" vertical="center" wrapText="1"/>
    </xf>
    <xf numFmtId="0" fontId="18" fillId="0" borderId="29" xfId="0" applyFont="1" applyBorder="1" applyAlignment="1">
      <alignment horizontal="center" vertical="center"/>
    </xf>
    <xf numFmtId="168" fontId="43" fillId="10" borderId="1" xfId="5" applyNumberFormat="1" applyFont="1" applyFill="1" applyBorder="1" applyAlignment="1">
      <alignment horizontal="center" vertical="center"/>
    </xf>
    <xf numFmtId="0" fontId="39" fillId="8" borderId="20" xfId="0" applyFont="1" applyFill="1" applyBorder="1" applyAlignment="1">
      <alignment horizontal="center" vertical="center"/>
    </xf>
    <xf numFmtId="0" fontId="39" fillId="8" borderId="21" xfId="0" applyFont="1" applyFill="1" applyBorder="1" applyAlignment="1">
      <alignment horizontal="center" vertical="center"/>
    </xf>
    <xf numFmtId="0" fontId="39" fillId="8" borderId="71" xfId="0" applyFont="1" applyFill="1" applyBorder="1" applyAlignment="1">
      <alignment horizontal="center" vertical="center"/>
    </xf>
    <xf numFmtId="0" fontId="17"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8" fillId="0" borderId="9" xfId="0" applyFont="1" applyBorder="1" applyAlignment="1">
      <alignment horizontal="center" wrapText="1"/>
    </xf>
    <xf numFmtId="0" fontId="22" fillId="0" borderId="14" xfId="0" applyFont="1" applyBorder="1" applyAlignment="1">
      <alignment horizontal="center" wrapText="1"/>
    </xf>
    <xf numFmtId="169" fontId="39" fillId="10" borderId="1" xfId="0" applyNumberFormat="1" applyFont="1" applyFill="1" applyBorder="1" applyAlignment="1">
      <alignment horizontal="center" vertical="center" wrapText="1"/>
    </xf>
    <xf numFmtId="0" fontId="17" fillId="0" borderId="9" xfId="0" applyFont="1" applyBorder="1" applyAlignment="1">
      <alignment horizontal="center" vertical="top" wrapText="1"/>
    </xf>
    <xf numFmtId="0" fontId="17" fillId="0" borderId="14" xfId="0" applyFont="1" applyBorder="1" applyAlignment="1">
      <alignment horizontal="center" vertical="top" wrapText="1"/>
    </xf>
    <xf numFmtId="0" fontId="18" fillId="0" borderId="9" xfId="0" applyFont="1" applyBorder="1" applyAlignment="1">
      <alignment horizontal="center" vertical="top" wrapText="1"/>
    </xf>
    <xf numFmtId="0" fontId="18" fillId="0" borderId="12" xfId="0" applyFont="1" applyBorder="1" applyAlignment="1">
      <alignment horizontal="center" vertical="center"/>
    </xf>
    <xf numFmtId="0" fontId="17" fillId="0" borderId="14" xfId="0" applyFont="1" applyBorder="1" applyAlignment="1">
      <alignment horizontal="center" wrapText="1"/>
    </xf>
    <xf numFmtId="0" fontId="39" fillId="8" borderId="12" xfId="0" applyFont="1" applyFill="1" applyBorder="1" applyAlignment="1">
      <alignment horizontal="center" vertical="center"/>
    </xf>
    <xf numFmtId="0" fontId="39" fillId="0" borderId="9" xfId="0" applyFont="1" applyBorder="1" applyAlignment="1">
      <alignment horizontal="center" vertical="center"/>
    </xf>
    <xf numFmtId="0" fontId="17" fillId="0" borderId="1" xfId="0" applyFont="1" applyBorder="1" applyAlignment="1">
      <alignment horizontal="center" vertical="top" wrapText="1"/>
    </xf>
    <xf numFmtId="0" fontId="77" fillId="24" borderId="9" xfId="0" applyFont="1" applyFill="1" applyBorder="1" applyAlignment="1">
      <alignment horizontal="center" vertical="center"/>
    </xf>
    <xf numFmtId="0" fontId="0" fillId="24" borderId="14" xfId="0" applyFill="1" applyBorder="1" applyAlignment="1">
      <alignment horizontal="center" vertical="center"/>
    </xf>
    <xf numFmtId="0" fontId="18" fillId="0" borderId="9" xfId="0" applyFont="1" applyBorder="1" applyAlignment="1">
      <alignment horizontal="center" vertical="center" wrapText="1"/>
    </xf>
    <xf numFmtId="0" fontId="73" fillId="12" borderId="9" xfId="0" applyFont="1" applyFill="1" applyBorder="1" applyAlignment="1">
      <alignment horizontal="center" vertical="center"/>
    </xf>
    <xf numFmtId="0" fontId="73" fillId="12" borderId="14" xfId="0" applyFont="1" applyFill="1" applyBorder="1" applyAlignment="1">
      <alignment horizontal="center" vertical="center"/>
    </xf>
    <xf numFmtId="0" fontId="0" fillId="0" borderId="9" xfId="0" applyBorder="1" applyAlignment="1">
      <alignment horizontal="center" vertical="center" wrapText="1"/>
    </xf>
    <xf numFmtId="169" fontId="11" fillId="27" borderId="9" xfId="0" applyNumberFormat="1" applyFont="1" applyFill="1" applyBorder="1" applyAlignment="1">
      <alignment horizontal="center" vertical="center" wrapText="1"/>
    </xf>
    <xf numFmtId="169" fontId="11" fillId="27" borderId="14" xfId="0" applyNumberFormat="1" applyFont="1" applyFill="1" applyBorder="1" applyAlignment="1">
      <alignment horizontal="center" vertical="center" wrapText="1"/>
    </xf>
    <xf numFmtId="169" fontId="11" fillId="27" borderId="1" xfId="0" applyNumberFormat="1" applyFont="1" applyFill="1" applyBorder="1" applyAlignment="1">
      <alignment horizontal="center" vertical="center" wrapText="1"/>
    </xf>
    <xf numFmtId="0" fontId="39" fillId="26" borderId="10" xfId="0" applyFont="1" applyFill="1" applyBorder="1" applyAlignment="1">
      <alignment horizontal="center" vertical="center"/>
    </xf>
    <xf numFmtId="0" fontId="39" fillId="26" borderId="15" xfId="0" applyFont="1" applyFill="1" applyBorder="1" applyAlignment="1">
      <alignment horizontal="center" vertical="center"/>
    </xf>
    <xf numFmtId="0" fontId="39" fillId="26" borderId="12" xfId="0" applyFont="1" applyFill="1" applyBorder="1" applyAlignment="1">
      <alignment horizontal="center" vertical="center"/>
    </xf>
    <xf numFmtId="0" fontId="18" fillId="0" borderId="10" xfId="0" applyFont="1" applyBorder="1" applyAlignment="1">
      <alignment horizontal="left" vertical="center"/>
    </xf>
    <xf numFmtId="0" fontId="18" fillId="0" borderId="15" xfId="0" applyFont="1" applyBorder="1" applyAlignment="1">
      <alignment horizontal="left" vertical="center"/>
    </xf>
    <xf numFmtId="0" fontId="75" fillId="0" borderId="9" xfId="0" applyFont="1" applyBorder="1" applyAlignment="1">
      <alignment horizontal="center" vertical="top" wrapText="1"/>
    </xf>
    <xf numFmtId="0" fontId="73" fillId="0" borderId="10" xfId="0" applyFont="1" applyBorder="1" applyAlignment="1">
      <alignment horizontal="center" vertical="center"/>
    </xf>
    <xf numFmtId="0" fontId="73" fillId="0" borderId="15" xfId="0" applyFont="1" applyBorder="1" applyAlignment="1">
      <alignment horizontal="center" vertical="center"/>
    </xf>
    <xf numFmtId="0" fontId="39" fillId="8" borderId="11" xfId="0" applyFont="1" applyFill="1" applyBorder="1" applyAlignment="1">
      <alignment horizontal="center" vertical="center"/>
    </xf>
    <xf numFmtId="0" fontId="18" fillId="0" borderId="35" xfId="0" applyFont="1" applyBorder="1" applyAlignment="1">
      <alignment horizontal="center" vertical="center"/>
    </xf>
    <xf numFmtId="0" fontId="0" fillId="0" borderId="10" xfId="0" applyBorder="1" applyAlignment="1">
      <alignment horizontal="center" vertical="center"/>
    </xf>
    <xf numFmtId="0" fontId="0" fillId="0" borderId="15" xfId="0" applyBorder="1" applyAlignment="1">
      <alignment horizontal="center" vertical="center"/>
    </xf>
    <xf numFmtId="0" fontId="17" fillId="0" borderId="10" xfId="0" applyFont="1" applyBorder="1" applyAlignment="1">
      <alignment horizontal="center" vertical="center" wrapText="1"/>
    </xf>
    <xf numFmtId="0" fontId="17" fillId="0" borderId="15" xfId="0" applyFont="1" applyBorder="1" applyAlignment="1">
      <alignment horizontal="center" vertical="center" wrapText="1"/>
    </xf>
    <xf numFmtId="0" fontId="18" fillId="0" borderId="27" xfId="0" applyFont="1" applyBorder="1" applyAlignment="1">
      <alignment horizontal="center" vertical="center"/>
    </xf>
    <xf numFmtId="0" fontId="18" fillId="0" borderId="9" xfId="0" applyFont="1" applyBorder="1" applyAlignment="1">
      <alignment horizontal="center" vertical="center"/>
    </xf>
    <xf numFmtId="0" fontId="18" fillId="0" borderId="14" xfId="0" applyFont="1" applyBorder="1" applyAlignment="1">
      <alignment horizontal="center" vertical="center"/>
    </xf>
    <xf numFmtId="0" fontId="0" fillId="0" borderId="11" xfId="0" applyBorder="1" applyAlignment="1">
      <alignment horizontal="center" vertical="center"/>
    </xf>
    <xf numFmtId="0" fontId="17" fillId="0" borderId="11" xfId="0" applyFont="1" applyBorder="1" applyAlignment="1">
      <alignment horizontal="center" vertical="center" wrapText="1"/>
    </xf>
    <xf numFmtId="0" fontId="73" fillId="12" borderId="27" xfId="0" applyFont="1" applyFill="1" applyBorder="1" applyAlignment="1">
      <alignment horizontal="center" vertical="center"/>
    </xf>
    <xf numFmtId="0" fontId="73" fillId="12" borderId="35" xfId="0" applyFont="1" applyFill="1" applyBorder="1" applyAlignment="1">
      <alignment horizontal="center" vertical="center"/>
    </xf>
    <xf numFmtId="0" fontId="0" fillId="0" borderId="14" xfId="0" applyBorder="1" applyAlignment="1">
      <alignment horizontal="center" vertical="center" wrapText="1"/>
    </xf>
    <xf numFmtId="0" fontId="18" fillId="0" borderId="32" xfId="0" applyFont="1" applyBorder="1" applyAlignment="1">
      <alignment horizontal="center" vertical="center" wrapText="1"/>
    </xf>
    <xf numFmtId="0" fontId="18" fillId="0" borderId="14" xfId="0" applyFont="1" applyBorder="1" applyAlignment="1">
      <alignment horizontal="center" vertical="center" wrapText="1"/>
    </xf>
    <xf numFmtId="0" fontId="0" fillId="0" borderId="3" xfId="0" applyBorder="1" applyAlignment="1">
      <alignment horizontal="center" vertical="center"/>
    </xf>
    <xf numFmtId="0" fontId="0" fillId="0" borderId="37" xfId="0" applyBorder="1" applyAlignment="1">
      <alignment horizontal="center" vertical="center"/>
    </xf>
    <xf numFmtId="0" fontId="17" fillId="0" borderId="8" xfId="0" applyFont="1" applyBorder="1" applyAlignment="1">
      <alignment horizontal="center" vertical="center" wrapText="1"/>
    </xf>
    <xf numFmtId="0" fontId="17" fillId="0" borderId="18" xfId="0" applyFont="1" applyBorder="1" applyAlignment="1">
      <alignment horizontal="center" vertical="center" wrapText="1"/>
    </xf>
    <xf numFmtId="0" fontId="18" fillId="0" borderId="11" xfId="0" applyFont="1" applyBorder="1" applyAlignment="1">
      <alignment horizontal="center" vertical="center"/>
    </xf>
    <xf numFmtId="0" fontId="18" fillId="0" borderId="11" xfId="0" applyFont="1" applyBorder="1" applyAlignment="1">
      <alignment horizontal="center" vertical="center" wrapText="1"/>
    </xf>
    <xf numFmtId="0" fontId="71" fillId="0" borderId="8" xfId="0" applyFont="1" applyBorder="1" applyAlignment="1">
      <alignment horizontal="center" vertical="center" wrapText="1"/>
    </xf>
    <xf numFmtId="0" fontId="45" fillId="0" borderId="37" xfId="0" applyFont="1" applyBorder="1" applyAlignment="1">
      <alignment horizontal="center" vertical="center"/>
    </xf>
    <xf numFmtId="0" fontId="70" fillId="0" borderId="8" xfId="0" applyFont="1" applyBorder="1" applyAlignment="1">
      <alignment horizontal="center" vertical="center" wrapText="1"/>
    </xf>
    <xf numFmtId="0" fontId="45" fillId="0" borderId="3" xfId="0" applyFont="1" applyBorder="1" applyAlignment="1">
      <alignment horizontal="center" vertical="center"/>
    </xf>
    <xf numFmtId="0" fontId="70" fillId="0" borderId="9"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11" xfId="0" applyFont="1" applyBorder="1" applyAlignment="1">
      <alignment horizontal="center" wrapText="1"/>
    </xf>
    <xf numFmtId="0" fontId="17" fillId="0" borderId="12" xfId="0" applyFont="1" applyBorder="1" applyAlignment="1">
      <alignment horizontal="center" vertical="center" wrapText="1"/>
    </xf>
    <xf numFmtId="0" fontId="17" fillId="0" borderId="11" xfId="0" applyFont="1" applyBorder="1" applyAlignment="1">
      <alignment horizontal="center" vertical="top" wrapText="1"/>
    </xf>
    <xf numFmtId="0" fontId="0" fillId="0" borderId="29" xfId="0" applyBorder="1" applyAlignment="1">
      <alignment horizontal="center" vertical="center"/>
    </xf>
    <xf numFmtId="0" fontId="0" fillId="0" borderId="30" xfId="0" applyBorder="1" applyAlignment="1">
      <alignment horizontal="center" vertical="center"/>
    </xf>
    <xf numFmtId="0" fontId="18" fillId="0" borderId="8" xfId="0" applyFont="1" applyBorder="1" applyAlignment="1">
      <alignment horizontal="center" vertical="center"/>
    </xf>
    <xf numFmtId="0" fontId="18" fillId="0" borderId="18" xfId="0" applyFont="1" applyBorder="1" applyAlignment="1">
      <alignment horizontal="center" vertical="center"/>
    </xf>
    <xf numFmtId="0" fontId="74" fillId="0" borderId="11" xfId="0" applyFont="1" applyBorder="1" applyAlignment="1">
      <alignment horizontal="center" vertical="center"/>
    </xf>
    <xf numFmtId="0" fontId="17" fillId="0" borderId="97" xfId="0" applyFont="1" applyBorder="1" applyAlignment="1">
      <alignment horizontal="center" vertical="center" wrapText="1"/>
    </xf>
    <xf numFmtId="169" fontId="39" fillId="0" borderId="11" xfId="0" applyNumberFormat="1" applyFont="1" applyBorder="1" applyAlignment="1">
      <alignment horizontal="center" vertical="center"/>
    </xf>
    <xf numFmtId="169" fontId="39" fillId="0" borderId="11" xfId="0" applyNumberFormat="1" applyFont="1" applyBorder="1" applyAlignment="1">
      <alignment horizontal="center" vertical="center" wrapText="1"/>
    </xf>
    <xf numFmtId="166" fontId="39" fillId="0" borderId="11" xfId="1" applyNumberFormat="1" applyFont="1" applyFill="1" applyBorder="1" applyAlignment="1">
      <alignment horizontal="center" vertical="center"/>
    </xf>
    <xf numFmtId="0" fontId="43" fillId="0" borderId="11" xfId="0" applyFont="1" applyBorder="1" applyAlignment="1">
      <alignment horizontal="left" vertical="center" wrapText="1"/>
    </xf>
    <xf numFmtId="168" fontId="43" fillId="0" borderId="11" xfId="5" applyNumberFormat="1" applyFont="1" applyFill="1" applyBorder="1" applyAlignment="1">
      <alignment horizontal="center" vertical="center"/>
    </xf>
    <xf numFmtId="0" fontId="0" fillId="0" borderId="12" xfId="0" applyBorder="1" applyAlignment="1">
      <alignment horizontal="center" vertical="center"/>
    </xf>
    <xf numFmtId="0" fontId="43" fillId="10" borderId="11" xfId="0" applyFont="1" applyFill="1" applyBorder="1" applyAlignment="1">
      <alignment horizontal="left" vertical="center" wrapText="1"/>
    </xf>
    <xf numFmtId="168" fontId="43" fillId="10" borderId="11" xfId="5" applyNumberFormat="1" applyFont="1" applyFill="1" applyBorder="1" applyAlignment="1">
      <alignment horizontal="center" vertical="center"/>
    </xf>
    <xf numFmtId="169" fontId="39" fillId="0" borderId="36" xfId="0" applyNumberFormat="1" applyFont="1" applyBorder="1" applyAlignment="1">
      <alignment horizontal="center" vertical="center"/>
    </xf>
    <xf numFmtId="169" fontId="39" fillId="10" borderId="11" xfId="0" applyNumberFormat="1" applyFont="1" applyFill="1" applyBorder="1" applyAlignment="1">
      <alignment horizontal="center" vertical="center"/>
    </xf>
    <xf numFmtId="169" fontId="39" fillId="10" borderId="36" xfId="0" applyNumberFormat="1" applyFont="1" applyFill="1" applyBorder="1" applyAlignment="1">
      <alignment horizontal="center" vertical="center"/>
    </xf>
    <xf numFmtId="169" fontId="39" fillId="10" borderId="11" xfId="0" applyNumberFormat="1" applyFont="1" applyFill="1" applyBorder="1" applyAlignment="1">
      <alignment horizontal="center" vertical="center" wrapText="1"/>
    </xf>
    <xf numFmtId="166" fontId="39" fillId="10" borderId="11" xfId="1" applyNumberFormat="1" applyFont="1" applyFill="1" applyBorder="1" applyAlignment="1">
      <alignment horizontal="center" vertical="center"/>
    </xf>
    <xf numFmtId="0" fontId="17" fillId="0" borderId="13" xfId="0" applyFont="1" applyBorder="1" applyAlignment="1">
      <alignment horizontal="center" vertical="center" wrapText="1"/>
    </xf>
    <xf numFmtId="0" fontId="73" fillId="12" borderId="11" xfId="0" applyFont="1" applyFill="1" applyBorder="1" applyAlignment="1">
      <alignment horizontal="center" vertical="center"/>
    </xf>
    <xf numFmtId="0" fontId="70" fillId="0" borderId="11" xfId="0" applyFont="1" applyBorder="1" applyAlignment="1">
      <alignment horizontal="center" vertical="center" wrapText="1"/>
    </xf>
    <xf numFmtId="0" fontId="0" fillId="28" borderId="11" xfId="0" applyFill="1" applyBorder="1" applyAlignment="1">
      <alignment horizontal="center" vertical="center"/>
    </xf>
    <xf numFmtId="0" fontId="17" fillId="15" borderId="11" xfId="0" applyFont="1" applyFill="1" applyBorder="1" applyAlignment="1">
      <alignment horizontal="center" vertical="center" wrapText="1"/>
    </xf>
    <xf numFmtId="0" fontId="17" fillId="0" borderId="11" xfId="0" applyFont="1" applyBorder="1" applyAlignment="1">
      <alignment horizontal="center" vertical="center"/>
    </xf>
    <xf numFmtId="0" fontId="17" fillId="0" borderId="16" xfId="0" applyFont="1" applyBorder="1" applyAlignment="1">
      <alignment horizontal="center" vertical="center" wrapText="1"/>
    </xf>
    <xf numFmtId="0" fontId="17" fillId="0" borderId="17" xfId="0" applyFont="1" applyBorder="1" applyAlignment="1">
      <alignment horizontal="center" vertical="center" wrapText="1"/>
    </xf>
    <xf numFmtId="0" fontId="70" fillId="0" borderId="16" xfId="0" applyFont="1" applyBorder="1" applyAlignment="1">
      <alignment horizontal="center" vertical="center" wrapText="1"/>
    </xf>
    <xf numFmtId="0" fontId="70" fillId="0" borderId="10" xfId="0" applyFont="1" applyBorder="1" applyAlignment="1">
      <alignment horizontal="center" vertical="center" wrapText="1"/>
    </xf>
    <xf numFmtId="0" fontId="39" fillId="25" borderId="11" xfId="0" applyFont="1" applyFill="1" applyBorder="1" applyAlignment="1">
      <alignment horizontal="center" vertical="center"/>
    </xf>
    <xf numFmtId="0" fontId="6" fillId="0" borderId="11" xfId="0" applyFont="1" applyBorder="1" applyAlignment="1">
      <alignment horizontal="center" vertical="center"/>
    </xf>
    <xf numFmtId="0" fontId="16" fillId="0" borderId="11" xfId="0" applyFont="1" applyBorder="1" applyAlignment="1">
      <alignment horizontal="center" vertical="center" wrapText="1"/>
    </xf>
    <xf numFmtId="169" fontId="39" fillId="13" borderId="2" xfId="0" applyNumberFormat="1" applyFont="1" applyFill="1" applyBorder="1" applyAlignment="1">
      <alignment horizontal="center" vertical="center" wrapText="1"/>
    </xf>
    <xf numFmtId="167" fontId="39" fillId="13" borderId="2" xfId="0" applyNumberFormat="1" applyFont="1" applyFill="1" applyBorder="1" applyAlignment="1">
      <alignment horizontal="center" vertical="center" wrapText="1"/>
    </xf>
    <xf numFmtId="169" fontId="39" fillId="9" borderId="1" xfId="0" applyNumberFormat="1" applyFont="1" applyFill="1" applyBorder="1" applyAlignment="1">
      <alignment horizontal="center" vertical="center" wrapText="1"/>
    </xf>
    <xf numFmtId="167" fontId="39" fillId="13" borderId="9" xfId="0" applyNumberFormat="1" applyFont="1" applyFill="1" applyBorder="1" applyAlignment="1">
      <alignment horizontal="center" vertical="center" wrapText="1"/>
    </xf>
    <xf numFmtId="167" fontId="39" fillId="13" borderId="1" xfId="0" applyNumberFormat="1" applyFont="1" applyFill="1" applyBorder="1" applyAlignment="1">
      <alignment horizontal="center" vertical="center" wrapText="1"/>
    </xf>
    <xf numFmtId="0" fontId="39" fillId="13" borderId="2" xfId="0" applyFont="1" applyFill="1" applyBorder="1" applyAlignment="1">
      <alignment horizontal="center" vertical="center" wrapText="1"/>
    </xf>
    <xf numFmtId="0" fontId="40" fillId="11" borderId="2" xfId="0" applyFont="1" applyFill="1" applyBorder="1" applyAlignment="1">
      <alignment horizontal="center" vertical="center" wrapText="1"/>
    </xf>
    <xf numFmtId="0" fontId="38" fillId="12" borderId="44" xfId="0" applyFont="1" applyFill="1" applyBorder="1" applyAlignment="1">
      <alignment horizontal="center" vertical="center" wrapText="1"/>
    </xf>
    <xf numFmtId="0" fontId="32" fillId="9" borderId="10" xfId="0" applyFont="1" applyFill="1" applyBorder="1" applyAlignment="1">
      <alignment horizontal="center" vertical="center" wrapText="1"/>
    </xf>
    <xf numFmtId="0" fontId="32" fillId="9" borderId="12" xfId="0" applyFont="1" applyFill="1" applyBorder="1" applyAlignment="1">
      <alignment horizontal="center" vertical="center" wrapText="1"/>
    </xf>
    <xf numFmtId="0" fontId="32" fillId="11" borderId="11" xfId="0" applyFont="1" applyFill="1" applyBorder="1" applyAlignment="1">
      <alignment horizontal="center" vertical="center" wrapText="1"/>
    </xf>
    <xf numFmtId="0" fontId="66" fillId="16" borderId="11" xfId="0" applyFont="1" applyFill="1" applyBorder="1" applyAlignment="1">
      <alignment horizontal="center" vertical="center" wrapText="1"/>
    </xf>
    <xf numFmtId="169" fontId="39" fillId="13" borderId="2" xfId="0" applyNumberFormat="1" applyFont="1" applyFill="1" applyBorder="1" applyAlignment="1">
      <alignment horizontal="center" vertical="center"/>
    </xf>
    <xf numFmtId="0" fontId="30" fillId="16" borderId="37" xfId="0" applyFont="1" applyFill="1" applyBorder="1" applyAlignment="1">
      <alignment horizontal="left" vertical="center" wrapText="1"/>
    </xf>
    <xf numFmtId="0" fontId="30" fillId="16" borderId="7" xfId="0" applyFont="1" applyFill="1" applyBorder="1" applyAlignment="1">
      <alignment horizontal="left" vertical="center" wrapText="1"/>
    </xf>
    <xf numFmtId="171" fontId="31" fillId="16" borderId="37" xfId="8" applyNumberFormat="1" applyFont="1" applyFill="1" applyBorder="1" applyAlignment="1">
      <alignment horizontal="center" vertical="center"/>
    </xf>
    <xf numFmtId="171" fontId="31" fillId="16" borderId="7" xfId="8" applyNumberFormat="1" applyFont="1" applyFill="1" applyBorder="1" applyAlignment="1">
      <alignment horizontal="center" vertical="center"/>
    </xf>
    <xf numFmtId="0" fontId="32" fillId="18" borderId="2" xfId="0" applyFont="1" applyFill="1" applyBorder="1" applyAlignment="1">
      <alignment horizontal="center" vertical="center" wrapText="1"/>
    </xf>
    <xf numFmtId="0" fontId="32" fillId="12" borderId="36" xfId="0" applyFont="1" applyFill="1" applyBorder="1" applyAlignment="1">
      <alignment horizontal="center" vertical="center" wrapText="1"/>
    </xf>
    <xf numFmtId="0" fontId="32" fillId="12" borderId="11" xfId="0" applyFont="1" applyFill="1" applyBorder="1" applyAlignment="1">
      <alignment horizontal="center" vertical="center" wrapText="1"/>
    </xf>
    <xf numFmtId="0" fontId="37" fillId="17" borderId="11" xfId="0" applyFont="1" applyFill="1" applyBorder="1" applyAlignment="1">
      <alignment horizontal="center" vertical="center" wrapText="1"/>
    </xf>
    <xf numFmtId="0" fontId="32" fillId="18" borderId="11" xfId="0" applyFont="1" applyFill="1" applyBorder="1" applyAlignment="1">
      <alignment vertical="center" wrapText="1"/>
    </xf>
    <xf numFmtId="0" fontId="26" fillId="16" borderId="0" xfId="0" applyFont="1" applyFill="1" applyAlignment="1">
      <alignment horizontal="center" vertical="center"/>
    </xf>
    <xf numFmtId="0" fontId="26" fillId="16" borderId="35" xfId="0" applyFont="1" applyFill="1" applyBorder="1" applyAlignment="1">
      <alignment horizontal="center" vertical="center"/>
    </xf>
    <xf numFmtId="0" fontId="26" fillId="16" borderId="19" xfId="0" applyFont="1" applyFill="1" applyBorder="1" applyAlignment="1">
      <alignment horizontal="center" vertical="center"/>
    </xf>
    <xf numFmtId="0" fontId="26" fillId="16" borderId="43" xfId="0" applyFont="1" applyFill="1" applyBorder="1" applyAlignment="1">
      <alignment horizontal="center" vertical="center"/>
    </xf>
    <xf numFmtId="0" fontId="27" fillId="17" borderId="16" xfId="0" applyFont="1" applyFill="1" applyBorder="1" applyAlignment="1">
      <alignment horizontal="center" vertical="center"/>
    </xf>
    <xf numFmtId="0" fontId="27" fillId="17" borderId="39" xfId="0" applyFont="1" applyFill="1" applyBorder="1" applyAlignment="1">
      <alignment horizontal="center" vertical="center"/>
    </xf>
    <xf numFmtId="0" fontId="27" fillId="17" borderId="27" xfId="0" applyFont="1" applyFill="1" applyBorder="1" applyAlignment="1">
      <alignment horizontal="center" vertical="center"/>
    </xf>
    <xf numFmtId="0" fontId="27" fillId="17" borderId="17" xfId="0" applyFont="1" applyFill="1" applyBorder="1" applyAlignment="1">
      <alignment horizontal="center" vertical="center"/>
    </xf>
    <xf numFmtId="0" fontId="27" fillId="17" borderId="0" xfId="0" applyFont="1" applyFill="1" applyAlignment="1">
      <alignment horizontal="center" vertical="center"/>
    </xf>
    <xf numFmtId="0" fontId="27" fillId="17" borderId="35" xfId="0" applyFont="1" applyFill="1" applyBorder="1" applyAlignment="1">
      <alignment horizontal="center" vertical="center"/>
    </xf>
    <xf numFmtId="0" fontId="28" fillId="18" borderId="11" xfId="0" applyFont="1" applyFill="1" applyBorder="1" applyAlignment="1">
      <alignment horizontal="center" vertical="center"/>
    </xf>
    <xf numFmtId="0" fontId="28" fillId="18" borderId="13" xfId="0" applyFont="1" applyFill="1" applyBorder="1" applyAlignment="1">
      <alignment horizontal="center" vertical="center"/>
    </xf>
    <xf numFmtId="0" fontId="29" fillId="19" borderId="3" xfId="0" applyFont="1" applyFill="1" applyBorder="1" applyAlignment="1">
      <alignment horizontal="center" vertical="center" wrapText="1"/>
    </xf>
    <xf numFmtId="0" fontId="29" fillId="19" borderId="42" xfId="0" applyFont="1" applyFill="1" applyBorder="1" applyAlignment="1">
      <alignment horizontal="center" vertical="center" wrapText="1"/>
    </xf>
    <xf numFmtId="0" fontId="29" fillId="19" borderId="7" xfId="0" applyFont="1" applyFill="1" applyBorder="1" applyAlignment="1">
      <alignment horizontal="center" vertical="center" wrapText="1"/>
    </xf>
    <xf numFmtId="0" fontId="29" fillId="19" borderId="19" xfId="0" applyFont="1" applyFill="1" applyBorder="1" applyAlignment="1">
      <alignment horizontal="center" vertical="center" wrapText="1"/>
    </xf>
    <xf numFmtId="0" fontId="29" fillId="24" borderId="42" xfId="0" applyFont="1" applyFill="1" applyBorder="1" applyAlignment="1">
      <alignment horizontal="center" vertical="center" wrapText="1"/>
    </xf>
    <xf numFmtId="0" fontId="29" fillId="24" borderId="19" xfId="0" applyFont="1" applyFill="1" applyBorder="1" applyAlignment="1">
      <alignment horizontal="center" vertical="center" wrapText="1"/>
    </xf>
    <xf numFmtId="0" fontId="29" fillId="24" borderId="8" xfId="0" applyFont="1" applyFill="1" applyBorder="1" applyAlignment="1">
      <alignment horizontal="center" vertical="center" wrapText="1"/>
    </xf>
    <xf numFmtId="0" fontId="29" fillId="24" borderId="6" xfId="0" applyFont="1" applyFill="1" applyBorder="1" applyAlignment="1">
      <alignment horizontal="center" vertical="center" wrapText="1"/>
    </xf>
    <xf numFmtId="0" fontId="40" fillId="13" borderId="2" xfId="0" applyFont="1" applyFill="1" applyBorder="1" applyAlignment="1">
      <alignment horizontal="center" vertical="center" wrapText="1"/>
    </xf>
    <xf numFmtId="168" fontId="43" fillId="10" borderId="100" xfId="5" applyNumberFormat="1" applyFont="1" applyFill="1" applyBorder="1" applyAlignment="1">
      <alignment horizontal="center" vertical="center"/>
    </xf>
    <xf numFmtId="168" fontId="43" fillId="10" borderId="30" xfId="5" applyNumberFormat="1" applyFont="1" applyFill="1" applyBorder="1" applyAlignment="1">
      <alignment horizontal="center" vertical="center"/>
    </xf>
    <xf numFmtId="168" fontId="43" fillId="10" borderId="101" xfId="5" applyNumberFormat="1" applyFont="1" applyFill="1" applyBorder="1" applyAlignment="1">
      <alignment horizontal="center" vertical="center"/>
    </xf>
    <xf numFmtId="0" fontId="32" fillId="18" borderId="9" xfId="0" applyFont="1" applyFill="1" applyBorder="1" applyAlignment="1">
      <alignment horizontal="center" vertical="center" wrapText="1"/>
    </xf>
    <xf numFmtId="171" fontId="31" fillId="16" borderId="37" xfId="3" applyNumberFormat="1" applyFont="1" applyFill="1" applyBorder="1" applyAlignment="1">
      <alignment horizontal="center" vertical="center" wrapText="1"/>
    </xf>
    <xf numFmtId="171" fontId="31" fillId="16" borderId="7" xfId="3" applyNumberFormat="1" applyFont="1" applyFill="1" applyBorder="1" applyAlignment="1">
      <alignment horizontal="center" vertical="center" wrapText="1"/>
    </xf>
    <xf numFmtId="0" fontId="32" fillId="12" borderId="27" xfId="0" applyFont="1" applyFill="1" applyBorder="1" applyAlignment="1">
      <alignment horizontal="center" vertical="center" wrapText="1"/>
    </xf>
    <xf numFmtId="0" fontId="34" fillId="12" borderId="11" xfId="0" applyFont="1" applyFill="1" applyBorder="1" applyAlignment="1">
      <alignment horizontal="center" vertical="center" wrapText="1"/>
    </xf>
    <xf numFmtId="0" fontId="32" fillId="12" borderId="10" xfId="0" applyFont="1" applyFill="1" applyBorder="1" applyAlignment="1">
      <alignment horizontal="center" vertical="center" wrapText="1"/>
    </xf>
    <xf numFmtId="0" fontId="29" fillId="19" borderId="8" xfId="0" applyFont="1" applyFill="1" applyBorder="1" applyAlignment="1">
      <alignment horizontal="center" vertical="center" wrapText="1"/>
    </xf>
    <xf numFmtId="0" fontId="29" fillId="19" borderId="6" xfId="0" applyFont="1" applyFill="1" applyBorder="1" applyAlignment="1">
      <alignment horizontal="center" vertical="center" wrapText="1"/>
    </xf>
    <xf numFmtId="0" fontId="39" fillId="13" borderId="9" xfId="0" applyFont="1" applyFill="1" applyBorder="1" applyAlignment="1">
      <alignment horizontal="center" vertical="center" wrapText="1"/>
    </xf>
    <xf numFmtId="0" fontId="40" fillId="11" borderId="9" xfId="0" applyFont="1" applyFill="1" applyBorder="1" applyAlignment="1">
      <alignment horizontal="center" vertical="center" wrapText="1"/>
    </xf>
    <xf numFmtId="0" fontId="40" fillId="13" borderId="9" xfId="0" applyFont="1" applyFill="1" applyBorder="1" applyAlignment="1">
      <alignment horizontal="center" vertical="center" wrapText="1"/>
    </xf>
    <xf numFmtId="169" fontId="39" fillId="9" borderId="14" xfId="0" applyNumberFormat="1" applyFont="1" applyFill="1" applyBorder="1" applyAlignment="1">
      <alignment horizontal="center" vertical="center" wrapText="1"/>
    </xf>
    <xf numFmtId="167" fontId="39" fillId="13" borderId="14" xfId="0" applyNumberFormat="1" applyFont="1" applyFill="1" applyBorder="1" applyAlignment="1">
      <alignment horizontal="center" vertical="center" wrapText="1"/>
    </xf>
    <xf numFmtId="169" fontId="39" fillId="13" borderId="9" xfId="0" applyNumberFormat="1" applyFont="1" applyFill="1" applyBorder="1" applyAlignment="1">
      <alignment horizontal="center" vertical="center"/>
    </xf>
    <xf numFmtId="169" fontId="39" fillId="13" borderId="9" xfId="0" applyNumberFormat="1" applyFont="1" applyFill="1" applyBorder="1" applyAlignment="1">
      <alignment horizontal="center" vertical="center" wrapText="1"/>
    </xf>
    <xf numFmtId="0" fontId="37" fillId="17" borderId="11" xfId="0" applyFont="1" applyFill="1" applyBorder="1" applyAlignment="1">
      <alignment vertical="center" wrapText="1"/>
    </xf>
    <xf numFmtId="0" fontId="37" fillId="17" borderId="10" xfId="0" applyFont="1" applyFill="1" applyBorder="1" applyAlignment="1">
      <alignment vertical="center" wrapText="1"/>
    </xf>
    <xf numFmtId="0" fontId="32" fillId="18" borderId="11" xfId="0" applyFont="1" applyFill="1" applyBorder="1" applyAlignment="1">
      <alignment horizontal="center" vertical="center" wrapText="1"/>
    </xf>
    <xf numFmtId="0" fontId="34" fillId="9" borderId="10" xfId="0" applyFont="1" applyFill="1" applyBorder="1" applyAlignment="1">
      <alignment horizontal="center" vertical="center" wrapText="1"/>
    </xf>
    <xf numFmtId="0" fontId="34" fillId="9" borderId="12" xfId="0" applyFont="1" applyFill="1" applyBorder="1" applyAlignment="1">
      <alignment horizontal="center" vertical="center" wrapText="1"/>
    </xf>
    <xf numFmtId="0" fontId="43" fillId="10" borderId="11" xfId="0" applyFont="1" applyFill="1" applyBorder="1" applyAlignment="1">
      <alignment horizontal="center" vertical="center" wrapText="1"/>
    </xf>
    <xf numFmtId="0" fontId="46" fillId="0" borderId="36" xfId="0" applyFont="1" applyBorder="1" applyAlignment="1">
      <alignment horizontal="center" vertical="center"/>
    </xf>
    <xf numFmtId="0" fontId="46" fillId="0" borderId="11" xfId="0" applyFont="1" applyBorder="1" applyAlignment="1">
      <alignment horizontal="center" vertical="center" wrapText="1"/>
    </xf>
    <xf numFmtId="0" fontId="47" fillId="0" borderId="11" xfId="0" applyFont="1" applyBorder="1" applyAlignment="1">
      <alignment horizontal="left" vertical="center" wrapText="1"/>
    </xf>
    <xf numFmtId="0" fontId="6" fillId="0" borderId="11" xfId="0" applyFont="1" applyBorder="1" applyAlignment="1">
      <alignment horizontal="left" vertical="center" wrapText="1"/>
    </xf>
    <xf numFmtId="0" fontId="6" fillId="0" borderId="13" xfId="0" applyFont="1" applyBorder="1" applyAlignment="1">
      <alignment horizontal="center" vertical="center" wrapText="1"/>
    </xf>
    <xf numFmtId="0" fontId="41" fillId="0" borderId="36" xfId="0" applyFont="1" applyBorder="1" applyAlignment="1">
      <alignment horizontal="center" vertical="center" wrapText="1"/>
    </xf>
    <xf numFmtId="0" fontId="42" fillId="0" borderId="36" xfId="0" applyFont="1" applyBorder="1" applyAlignment="1">
      <alignment horizontal="center" vertical="center" wrapText="1"/>
    </xf>
    <xf numFmtId="0" fontId="0" fillId="0" borderId="11" xfId="0" applyBorder="1" applyAlignment="1">
      <alignment horizontal="center" vertical="center" wrapText="1"/>
    </xf>
    <xf numFmtId="0" fontId="42" fillId="0" borderId="11" xfId="0" applyFont="1" applyBorder="1" applyAlignment="1">
      <alignment horizontal="left" vertical="center" wrapText="1"/>
    </xf>
    <xf numFmtId="0" fontId="48" fillId="0" borderId="11" xfId="0" applyFont="1" applyBorder="1" applyAlignment="1">
      <alignment horizontal="left" vertical="center" wrapText="1"/>
    </xf>
    <xf numFmtId="0" fontId="0" fillId="0" borderId="36" xfId="0" applyBorder="1" applyAlignment="1">
      <alignment horizontal="center" vertical="center" wrapText="1"/>
    </xf>
    <xf numFmtId="0" fontId="0" fillId="0" borderId="11" xfId="0" applyBorder="1" applyAlignment="1">
      <alignment horizontal="left" vertical="center" wrapText="1"/>
    </xf>
    <xf numFmtId="0" fontId="42" fillId="0" borderId="11" xfId="0" applyFont="1" applyBorder="1" applyAlignment="1">
      <alignment horizontal="center" vertical="center" wrapText="1"/>
    </xf>
    <xf numFmtId="0" fontId="42" fillId="0" borderId="13" xfId="0" applyFont="1" applyBorder="1" applyAlignment="1">
      <alignment horizontal="center" vertical="center" wrapText="1"/>
    </xf>
    <xf numFmtId="0" fontId="42" fillId="15" borderId="11" xfId="0" applyFont="1" applyFill="1" applyBorder="1" applyAlignment="1">
      <alignment horizontal="center" vertical="center" wrapText="1"/>
    </xf>
    <xf numFmtId="0" fontId="42" fillId="15" borderId="13" xfId="0" applyFont="1" applyFill="1" applyBorder="1" applyAlignment="1">
      <alignment horizontal="center" vertical="center" wrapText="1"/>
    </xf>
    <xf numFmtId="0" fontId="6" fillId="0" borderId="11"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11" xfId="2" applyFont="1" applyBorder="1" applyAlignment="1">
      <alignment horizontal="center" vertical="center" wrapText="1"/>
    </xf>
    <xf numFmtId="0" fontId="6" fillId="0" borderId="36" xfId="0" applyFont="1" applyBorder="1" applyAlignment="1">
      <alignment horizontal="center" vertical="center"/>
    </xf>
    <xf numFmtId="0" fontId="6" fillId="0" borderId="27" xfId="0" applyFont="1" applyBorder="1" applyAlignment="1">
      <alignment horizontal="center" vertical="center"/>
    </xf>
    <xf numFmtId="0" fontId="47" fillId="0" borderId="28" xfId="0" applyFont="1" applyBorder="1" applyAlignment="1">
      <alignment vertical="center"/>
    </xf>
    <xf numFmtId="0" fontId="47" fillId="0" borderId="36" xfId="0" applyFont="1" applyBorder="1" applyAlignment="1">
      <alignment vertical="center"/>
    </xf>
    <xf numFmtId="0" fontId="0" fillId="0" borderId="12" xfId="0" applyBorder="1" applyAlignment="1">
      <alignment horizontal="center" vertical="center" wrapText="1"/>
    </xf>
    <xf numFmtId="0" fontId="42" fillId="0" borderId="12" xfId="0" applyFont="1" applyBorder="1" applyAlignment="1">
      <alignment horizontal="center" vertical="center" wrapText="1"/>
    </xf>
    <xf numFmtId="0" fontId="42" fillId="0" borderId="26" xfId="0" applyFont="1" applyBorder="1" applyAlignment="1">
      <alignment horizontal="center" vertical="center" wrapText="1"/>
    </xf>
    <xf numFmtId="0" fontId="45" fillId="0" borderId="12" xfId="0" applyFont="1" applyBorder="1" applyAlignment="1">
      <alignment horizontal="center" vertical="center" wrapText="1"/>
    </xf>
    <xf numFmtId="0" fontId="45" fillId="0" borderId="11" xfId="0" applyFont="1" applyBorder="1" applyAlignment="1">
      <alignment horizontal="center" vertical="center" wrapText="1"/>
    </xf>
    <xf numFmtId="0" fontId="6" fillId="0" borderId="26" xfId="0" applyFont="1" applyBorder="1" applyAlignment="1">
      <alignment horizontal="center" vertical="center" wrapText="1"/>
    </xf>
    <xf numFmtId="0" fontId="6" fillId="15" borderId="13" xfId="0" applyFont="1" applyFill="1" applyBorder="1" applyAlignment="1">
      <alignment horizontal="center" vertical="center" wrapText="1"/>
    </xf>
    <xf numFmtId="0" fontId="41" fillId="0" borderId="11" xfId="0" applyFont="1" applyBorder="1" applyAlignment="1">
      <alignment horizontal="center" vertical="center" wrapText="1"/>
    </xf>
    <xf numFmtId="0" fontId="6" fillId="15" borderId="11" xfId="0" applyFont="1" applyFill="1" applyBorder="1" applyAlignment="1">
      <alignment horizontal="center" vertical="center"/>
    </xf>
    <xf numFmtId="0" fontId="6" fillId="0" borderId="12" xfId="0" applyFont="1" applyBorder="1" applyAlignment="1">
      <alignment horizontal="center" vertical="center" wrapText="1"/>
    </xf>
    <xf numFmtId="0" fontId="6" fillId="0" borderId="16" xfId="0" applyFont="1" applyBorder="1" applyAlignment="1">
      <alignment horizontal="center" vertical="center"/>
    </xf>
    <xf numFmtId="0" fontId="6" fillId="0" borderId="26" xfId="0" applyFont="1" applyBorder="1" applyAlignment="1">
      <alignment horizontal="center" vertical="center"/>
    </xf>
    <xf numFmtId="0" fontId="47" fillId="0" borderId="11" xfId="0" applyFont="1" applyBorder="1" applyAlignment="1">
      <alignment horizontal="center" vertical="center" wrapText="1"/>
    </xf>
    <xf numFmtId="0" fontId="50" fillId="0" borderId="11" xfId="0" applyFont="1" applyBorder="1" applyAlignment="1">
      <alignment horizontal="center" vertical="center" wrapText="1"/>
    </xf>
    <xf numFmtId="0" fontId="41" fillId="15" borderId="36" xfId="0" applyFont="1" applyFill="1" applyBorder="1" applyAlignment="1">
      <alignment horizontal="center" vertical="center" wrapText="1"/>
    </xf>
    <xf numFmtId="0" fontId="42" fillId="15" borderId="36" xfId="0" applyFont="1" applyFill="1" applyBorder="1" applyAlignment="1">
      <alignment horizontal="center" vertical="center" wrapText="1"/>
    </xf>
    <xf numFmtId="0" fontId="41" fillId="15" borderId="11" xfId="0" applyFont="1" applyFill="1" applyBorder="1" applyAlignment="1">
      <alignment horizontal="center" vertical="center" wrapText="1"/>
    </xf>
    <xf numFmtId="0" fontId="6" fillId="15" borderId="11" xfId="0" applyFont="1" applyFill="1" applyBorder="1" applyAlignment="1">
      <alignment horizontal="left" vertical="center" wrapText="1"/>
    </xf>
    <xf numFmtId="0" fontId="46" fillId="0" borderId="11" xfId="0" applyFont="1" applyBorder="1" applyAlignment="1">
      <alignment horizontal="center" vertical="center"/>
    </xf>
    <xf numFmtId="0" fontId="46" fillId="12" borderId="11" xfId="0" applyFont="1" applyFill="1" applyBorder="1" applyAlignment="1">
      <alignment horizontal="center" vertical="center"/>
    </xf>
    <xf numFmtId="0" fontId="6" fillId="12" borderId="11" xfId="0" applyFont="1" applyFill="1" applyBorder="1" applyAlignment="1">
      <alignment horizontal="center" vertical="center"/>
    </xf>
    <xf numFmtId="0" fontId="47" fillId="15" borderId="11" xfId="0" applyFont="1" applyFill="1" applyBorder="1" applyAlignment="1">
      <alignment horizontal="left" vertical="center" wrapText="1"/>
    </xf>
    <xf numFmtId="0" fontId="38" fillId="12" borderId="11" xfId="0" applyFont="1" applyFill="1" applyBorder="1" applyAlignment="1">
      <alignment horizontal="center" vertical="center" wrapText="1"/>
    </xf>
    <xf numFmtId="0" fontId="34" fillId="9" borderId="11" xfId="0" applyFont="1" applyFill="1" applyBorder="1" applyAlignment="1">
      <alignment horizontal="center" vertical="center" wrapText="1"/>
    </xf>
    <xf numFmtId="171" fontId="31" fillId="16" borderId="11" xfId="3" applyNumberFormat="1" applyFont="1" applyFill="1" applyBorder="1" applyAlignment="1">
      <alignment horizontal="center" vertical="center"/>
    </xf>
    <xf numFmtId="0" fontId="26" fillId="16" borderId="11" xfId="0" applyFont="1" applyFill="1" applyBorder="1" applyAlignment="1">
      <alignment horizontal="center" vertical="center"/>
    </xf>
    <xf numFmtId="0" fontId="27" fillId="17" borderId="11" xfId="0" applyFont="1" applyFill="1" applyBorder="1" applyAlignment="1">
      <alignment horizontal="center" vertical="center"/>
    </xf>
    <xf numFmtId="0" fontId="29" fillId="19" borderId="11" xfId="0" applyFont="1" applyFill="1" applyBorder="1" applyAlignment="1">
      <alignment horizontal="center" vertical="center" wrapText="1"/>
    </xf>
    <xf numFmtId="0" fontId="30" fillId="16" borderId="11" xfId="0" applyFont="1" applyFill="1" applyBorder="1" applyAlignment="1">
      <alignment horizontal="left" vertical="center" wrapText="1"/>
    </xf>
    <xf numFmtId="0" fontId="39" fillId="13" borderId="11" xfId="0" applyFont="1" applyFill="1" applyBorder="1" applyAlignment="1">
      <alignment horizontal="center" vertical="center" wrapText="1"/>
    </xf>
    <xf numFmtId="0" fontId="40" fillId="11" borderId="11" xfId="0" applyFont="1" applyFill="1" applyBorder="1" applyAlignment="1">
      <alignment horizontal="center" vertical="center" wrapText="1"/>
    </xf>
    <xf numFmtId="0" fontId="40" fillId="13" borderId="11" xfId="0" applyFont="1" applyFill="1" applyBorder="1" applyAlignment="1">
      <alignment horizontal="center" vertical="center" wrapText="1"/>
    </xf>
    <xf numFmtId="167" fontId="39" fillId="13" borderId="11" xfId="0" applyNumberFormat="1" applyFont="1" applyFill="1" applyBorder="1" applyAlignment="1">
      <alignment horizontal="center" vertical="center" wrapText="1"/>
    </xf>
    <xf numFmtId="169" fontId="39" fillId="9" borderId="11" xfId="0" applyNumberFormat="1" applyFont="1" applyFill="1" applyBorder="1" applyAlignment="1">
      <alignment horizontal="center" vertical="center" wrapText="1"/>
    </xf>
    <xf numFmtId="169" fontId="39" fillId="13" borderId="11" xfId="0" applyNumberFormat="1" applyFont="1" applyFill="1" applyBorder="1" applyAlignment="1">
      <alignment horizontal="center" vertical="center"/>
    </xf>
    <xf numFmtId="169" fontId="39" fillId="13" borderId="11" xfId="0" applyNumberFormat="1" applyFont="1" applyFill="1" applyBorder="1" applyAlignment="1">
      <alignment horizontal="center" vertical="center" wrapText="1"/>
    </xf>
    <xf numFmtId="0" fontId="43" fillId="10" borderId="2" xfId="0" applyFont="1" applyFill="1" applyBorder="1" applyAlignment="1">
      <alignment horizontal="left" vertical="center" wrapText="1"/>
    </xf>
    <xf numFmtId="0" fontId="0" fillId="0" borderId="5" xfId="0" applyBorder="1" applyAlignment="1">
      <alignment horizontal="center" vertical="center" wrapText="1"/>
    </xf>
    <xf numFmtId="0" fontId="58" fillId="15" borderId="13" xfId="0" applyFont="1" applyFill="1" applyBorder="1" applyAlignment="1">
      <alignment horizontal="center" vertical="center"/>
    </xf>
    <xf numFmtId="0" fontId="58" fillId="15" borderId="26" xfId="0" applyFont="1" applyFill="1" applyBorder="1" applyAlignment="1">
      <alignment horizontal="center" vertical="center"/>
    </xf>
    <xf numFmtId="174" fontId="39" fillId="10" borderId="4" xfId="0" applyNumberFormat="1" applyFont="1" applyFill="1" applyBorder="1" applyAlignment="1">
      <alignment horizontal="center" vertical="center"/>
    </xf>
    <xf numFmtId="174" fontId="39" fillId="10" borderId="2" xfId="0" applyNumberFormat="1" applyFont="1" applyFill="1" applyBorder="1" applyAlignment="1">
      <alignment horizontal="center" vertical="center"/>
    </xf>
    <xf numFmtId="166" fontId="39" fillId="10" borderId="10" xfId="1" applyNumberFormat="1" applyFont="1" applyFill="1" applyBorder="1" applyAlignment="1">
      <alignment horizontal="center" vertical="center"/>
    </xf>
    <xf numFmtId="0" fontId="43" fillId="10" borderId="10" xfId="0" applyFont="1" applyFill="1" applyBorder="1" applyAlignment="1">
      <alignment horizontal="left" vertical="center" wrapText="1"/>
    </xf>
    <xf numFmtId="0" fontId="43" fillId="10" borderId="15" xfId="0" applyFont="1" applyFill="1" applyBorder="1" applyAlignment="1">
      <alignment horizontal="left" vertical="center" wrapText="1"/>
    </xf>
    <xf numFmtId="168" fontId="43" fillId="10" borderId="10" xfId="5" applyNumberFormat="1" applyFont="1" applyFill="1" applyBorder="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58" fillId="15" borderId="11" xfId="0" applyFont="1" applyFill="1" applyBorder="1" applyAlignment="1">
      <alignment horizontal="center" vertical="center"/>
    </xf>
    <xf numFmtId="0" fontId="58" fillId="15" borderId="12" xfId="0" applyFont="1" applyFill="1" applyBorder="1" applyAlignment="1">
      <alignment horizontal="center" vertical="center"/>
    </xf>
    <xf numFmtId="0" fontId="58" fillId="15" borderId="11" xfId="0" applyFont="1" applyFill="1" applyBorder="1" applyAlignment="1">
      <alignment horizontal="left" vertical="center" wrapText="1"/>
    </xf>
    <xf numFmtId="0" fontId="58" fillId="15" borderId="12" xfId="0" applyFont="1" applyFill="1" applyBorder="1" applyAlignment="1">
      <alignment horizontal="left" vertical="center" wrapText="1"/>
    </xf>
    <xf numFmtId="0" fontId="58" fillId="15" borderId="11" xfId="0" applyFont="1" applyFill="1" applyBorder="1" applyAlignment="1">
      <alignment horizontal="left" vertical="top" wrapText="1"/>
    </xf>
    <xf numFmtId="0" fontId="58" fillId="15" borderId="12" xfId="0" applyFont="1" applyFill="1" applyBorder="1" applyAlignment="1">
      <alignment horizontal="left" vertical="top" wrapText="1"/>
    </xf>
    <xf numFmtId="0" fontId="6" fillId="12" borderId="12" xfId="0" applyFont="1" applyFill="1" applyBorder="1" applyAlignment="1">
      <alignment horizontal="center" vertical="center"/>
    </xf>
    <xf numFmtId="0" fontId="48" fillId="12" borderId="11" xfId="0" applyFont="1" applyFill="1" applyBorder="1" applyAlignment="1">
      <alignment horizontal="center" vertical="center" wrapText="1"/>
    </xf>
    <xf numFmtId="174" fontId="39" fillId="10" borderId="36" xfId="0" applyNumberFormat="1" applyFont="1" applyFill="1" applyBorder="1" applyAlignment="1">
      <alignment horizontal="center" vertical="center"/>
    </xf>
    <xf numFmtId="174" fontId="39" fillId="10" borderId="27" xfId="0" applyNumberFormat="1" applyFont="1" applyFill="1" applyBorder="1" applyAlignment="1">
      <alignment horizontal="center" vertical="center"/>
    </xf>
    <xf numFmtId="174" fontId="39" fillId="10" borderId="11" xfId="0" applyNumberFormat="1" applyFont="1" applyFill="1" applyBorder="1" applyAlignment="1">
      <alignment horizontal="center" vertical="center"/>
    </xf>
    <xf numFmtId="174" fontId="39" fillId="10" borderId="10" xfId="0" applyNumberFormat="1" applyFont="1" applyFill="1" applyBorder="1" applyAlignment="1">
      <alignment horizontal="center" vertical="center"/>
    </xf>
    <xf numFmtId="169" fontId="39" fillId="10" borderId="10" xfId="0" applyNumberFormat="1" applyFont="1" applyFill="1" applyBorder="1" applyAlignment="1">
      <alignment horizontal="center" vertical="center" wrapText="1"/>
    </xf>
    <xf numFmtId="169" fontId="39" fillId="10" borderId="10" xfId="0" applyNumberFormat="1" applyFont="1" applyFill="1" applyBorder="1" applyAlignment="1">
      <alignment horizontal="center" vertical="center"/>
    </xf>
    <xf numFmtId="0" fontId="43" fillId="10" borderId="12" xfId="0" applyFont="1" applyFill="1" applyBorder="1" applyAlignment="1">
      <alignment horizontal="left" vertical="center" wrapText="1"/>
    </xf>
    <xf numFmtId="0" fontId="0" fillId="0" borderId="26" xfId="0" applyBorder="1" applyAlignment="1">
      <alignment horizontal="center" vertical="center" wrapText="1"/>
    </xf>
    <xf numFmtId="0" fontId="59" fillId="20" borderId="11" xfId="0" applyFont="1" applyFill="1" applyBorder="1" applyAlignment="1">
      <alignment horizontal="center" vertical="center"/>
    </xf>
    <xf numFmtId="0" fontId="0" fillId="0" borderId="13" xfId="0" applyBorder="1" applyAlignment="1">
      <alignment horizontal="center" vertical="center" wrapText="1"/>
    </xf>
    <xf numFmtId="0" fontId="0" fillId="0" borderId="13" xfId="0" applyBorder="1" applyAlignment="1">
      <alignment horizontal="center" vertical="center"/>
    </xf>
    <xf numFmtId="0" fontId="0" fillId="0" borderId="16" xfId="0" applyBorder="1" applyAlignment="1">
      <alignment horizontal="center" vertical="center"/>
    </xf>
    <xf numFmtId="0" fontId="0" fillId="0" borderId="26" xfId="0" applyBorder="1" applyAlignment="1">
      <alignment horizontal="center" vertical="center"/>
    </xf>
    <xf numFmtId="0" fontId="8" fillId="0" borderId="16" xfId="6" applyBorder="1" applyAlignment="1">
      <alignment horizontal="center" vertical="center" wrapText="1"/>
    </xf>
    <xf numFmtId="0" fontId="8" fillId="0" borderId="26" xfId="6" applyBorder="1" applyAlignment="1">
      <alignment horizontal="center" vertical="center" wrapText="1"/>
    </xf>
    <xf numFmtId="166" fontId="64" fillId="10" borderId="11" xfId="1" applyNumberFormat="1" applyFont="1" applyFill="1" applyBorder="1" applyAlignment="1">
      <alignment horizontal="center" vertical="center"/>
    </xf>
    <xf numFmtId="168" fontId="63" fillId="10" borderId="11" xfId="5" applyNumberFormat="1" applyFont="1" applyFill="1" applyBorder="1" applyAlignment="1">
      <alignment horizontal="center" vertical="center"/>
    </xf>
    <xf numFmtId="0" fontId="65" fillId="0" borderId="16" xfId="0" applyFont="1" applyBorder="1" applyAlignment="1">
      <alignment horizontal="center" vertical="center" wrapText="1"/>
    </xf>
    <xf numFmtId="0" fontId="65" fillId="0" borderId="26" xfId="0" applyFont="1" applyBorder="1" applyAlignment="1">
      <alignment horizontal="center" vertical="center" wrapText="1"/>
    </xf>
    <xf numFmtId="0" fontId="61" fillId="15" borderId="11" xfId="0" applyFont="1" applyFill="1" applyBorder="1" applyAlignment="1">
      <alignment horizontal="center" vertical="center"/>
    </xf>
    <xf numFmtId="174" fontId="64" fillId="10" borderId="36" xfId="0" applyNumberFormat="1" applyFont="1" applyFill="1" applyBorder="1" applyAlignment="1">
      <alignment horizontal="center" vertical="center"/>
    </xf>
    <xf numFmtId="174" fontId="64" fillId="10" borderId="11" xfId="0" applyNumberFormat="1" applyFont="1" applyFill="1" applyBorder="1" applyAlignment="1">
      <alignment horizontal="center" vertical="center"/>
    </xf>
    <xf numFmtId="169" fontId="64" fillId="10" borderId="11" xfId="0" applyNumberFormat="1" applyFont="1" applyFill="1" applyBorder="1" applyAlignment="1">
      <alignment horizontal="center" vertical="center" wrapText="1"/>
    </xf>
    <xf numFmtId="169" fontId="64" fillId="10" borderId="11" xfId="0" applyNumberFormat="1" applyFont="1" applyFill="1" applyBorder="1" applyAlignment="1">
      <alignment horizontal="center" vertical="center"/>
    </xf>
    <xf numFmtId="0" fontId="61" fillId="15" borderId="11" xfId="0" applyFont="1" applyFill="1" applyBorder="1" applyAlignment="1">
      <alignment horizontal="left" vertical="center" wrapText="1"/>
    </xf>
    <xf numFmtId="0" fontId="61" fillId="15" borderId="11" xfId="0" applyFont="1" applyFill="1" applyBorder="1" applyAlignment="1">
      <alignment horizontal="left" vertical="top" wrapText="1"/>
    </xf>
    <xf numFmtId="0" fontId="5" fillId="12" borderId="11" xfId="0" applyFont="1" applyFill="1" applyBorder="1" applyAlignment="1">
      <alignment horizontal="center" vertical="center"/>
    </xf>
    <xf numFmtId="0" fontId="62" fillId="12" borderId="11" xfId="0" applyFont="1" applyFill="1" applyBorder="1" applyAlignment="1">
      <alignment horizontal="center" vertical="center" wrapText="1"/>
    </xf>
    <xf numFmtId="0" fontId="58" fillId="9" borderId="11" xfId="0" applyFont="1" applyFill="1" applyBorder="1" applyAlignment="1">
      <alignment horizontal="left" vertical="center" wrapText="1"/>
    </xf>
    <xf numFmtId="169" fontId="39" fillId="10" borderId="12" xfId="0" applyNumberFormat="1" applyFont="1" applyFill="1" applyBorder="1" applyAlignment="1">
      <alignment horizontal="center" vertical="center"/>
    </xf>
    <xf numFmtId="168" fontId="43" fillId="10" borderId="12" xfId="5" applyNumberFormat="1" applyFont="1" applyFill="1" applyBorder="1" applyAlignment="1">
      <alignment horizontal="center" vertical="center"/>
    </xf>
    <xf numFmtId="174" fontId="39" fillId="10" borderId="28" xfId="0" applyNumberFormat="1" applyFont="1" applyFill="1" applyBorder="1" applyAlignment="1">
      <alignment horizontal="center" vertical="center"/>
    </xf>
    <xf numFmtId="174" fontId="39" fillId="10" borderId="12" xfId="0" applyNumberFormat="1" applyFont="1" applyFill="1" applyBorder="1" applyAlignment="1">
      <alignment horizontal="center" vertical="center"/>
    </xf>
    <xf numFmtId="169" fontId="39" fillId="10" borderId="12" xfId="0" applyNumberFormat="1" applyFont="1" applyFill="1" applyBorder="1" applyAlignment="1">
      <alignment horizontal="center" vertical="center" wrapText="1"/>
    </xf>
    <xf numFmtId="166" fontId="39" fillId="10" borderId="12" xfId="1" applyNumberFormat="1" applyFont="1" applyFill="1" applyBorder="1" applyAlignment="1">
      <alignment horizontal="center" vertical="center"/>
    </xf>
    <xf numFmtId="0" fontId="58" fillId="15" borderId="10" xfId="0" applyFont="1" applyFill="1" applyBorder="1" applyAlignment="1">
      <alignment horizontal="center" vertical="center"/>
    </xf>
    <xf numFmtId="0" fontId="58" fillId="0" borderId="11" xfId="0" applyFont="1" applyBorder="1" applyAlignment="1">
      <alignment horizontal="left" vertical="center" wrapText="1"/>
    </xf>
    <xf numFmtId="0" fontId="0" fillId="0" borderId="20" xfId="0" applyBorder="1" applyAlignment="1">
      <alignment horizontal="center" vertical="center" wrapText="1"/>
    </xf>
    <xf numFmtId="0" fontId="0" fillId="0" borderId="71" xfId="0" applyBorder="1" applyAlignment="1">
      <alignment horizontal="center" vertical="center" wrapText="1"/>
    </xf>
    <xf numFmtId="174" fontId="39" fillId="10" borderId="29" xfId="0" applyNumberFormat="1" applyFont="1" applyFill="1" applyBorder="1" applyAlignment="1">
      <alignment horizontal="center" vertical="center"/>
    </xf>
    <xf numFmtId="174" fontId="39" fillId="10" borderId="31" xfId="0" applyNumberFormat="1" applyFont="1" applyFill="1" applyBorder="1" applyAlignment="1">
      <alignment horizontal="center" vertical="center"/>
    </xf>
    <xf numFmtId="0" fontId="48" fillId="12" borderId="10" xfId="0" applyFont="1" applyFill="1" applyBorder="1" applyAlignment="1">
      <alignment horizontal="center" vertical="center" wrapText="1"/>
    </xf>
    <xf numFmtId="0" fontId="48" fillId="12" borderId="12" xfId="0" applyFont="1" applyFill="1" applyBorder="1" applyAlignment="1">
      <alignment horizontal="center" vertical="center" wrapText="1"/>
    </xf>
    <xf numFmtId="0" fontId="59" fillId="20" borderId="10" xfId="0" applyFont="1" applyFill="1" applyBorder="1" applyAlignment="1">
      <alignment horizontal="center" vertical="center"/>
    </xf>
    <xf numFmtId="0" fontId="59" fillId="20" borderId="12" xfId="0" applyFont="1" applyFill="1" applyBorder="1" applyAlignment="1">
      <alignment horizontal="center" vertical="center"/>
    </xf>
    <xf numFmtId="0" fontId="58" fillId="15" borderId="10" xfId="0" applyFont="1" applyFill="1" applyBorder="1" applyAlignment="1">
      <alignment horizontal="left" vertical="top" wrapText="1"/>
    </xf>
    <xf numFmtId="0" fontId="58" fillId="15" borderId="10" xfId="0" applyFont="1" applyFill="1" applyBorder="1" applyAlignment="1">
      <alignment horizontal="left" vertical="center" wrapText="1"/>
    </xf>
    <xf numFmtId="0" fontId="28" fillId="18" borderId="10" xfId="0" applyFont="1" applyFill="1" applyBorder="1" applyAlignment="1">
      <alignment horizontal="center" vertical="center"/>
    </xf>
    <xf numFmtId="171" fontId="31" fillId="16" borderId="11" xfId="8" applyNumberFormat="1" applyFont="1" applyFill="1" applyBorder="1" applyAlignment="1">
      <alignment horizontal="center" vertical="center"/>
    </xf>
    <xf numFmtId="0" fontId="40" fillId="11" borderId="13" xfId="0" applyFont="1" applyFill="1" applyBorder="1" applyAlignment="1">
      <alignment horizontal="center" vertical="center" wrapText="1"/>
    </xf>
    <xf numFmtId="169" fontId="39" fillId="13" borderId="36" xfId="0" applyNumberFormat="1" applyFont="1" applyFill="1" applyBorder="1" applyAlignment="1">
      <alignment horizontal="center" vertical="center"/>
    </xf>
    <xf numFmtId="0" fontId="32" fillId="11" borderId="13" xfId="0" applyFont="1" applyFill="1" applyBorder="1" applyAlignment="1">
      <alignment horizontal="center" vertical="center" wrapText="1"/>
    </xf>
    <xf numFmtId="0" fontId="37" fillId="17" borderId="2" xfId="0" applyFont="1" applyFill="1" applyBorder="1" applyAlignment="1">
      <alignment horizontal="center" vertical="center" wrapText="1"/>
    </xf>
    <xf numFmtId="171" fontId="31" fillId="16" borderId="2" xfId="8" applyNumberFormat="1" applyFont="1" applyFill="1" applyBorder="1" applyAlignment="1">
      <alignment horizontal="center" vertical="center"/>
    </xf>
    <xf numFmtId="0" fontId="32" fillId="12" borderId="2" xfId="0" applyFont="1" applyFill="1" applyBorder="1" applyAlignment="1">
      <alignment horizontal="center" vertical="center" wrapText="1"/>
    </xf>
    <xf numFmtId="0" fontId="26" fillId="16" borderId="2" xfId="0" applyFont="1" applyFill="1" applyBorder="1" applyAlignment="1">
      <alignment horizontal="center" vertical="center"/>
    </xf>
    <xf numFmtId="0" fontId="27" fillId="17" borderId="2" xfId="0" applyFont="1" applyFill="1" applyBorder="1" applyAlignment="1">
      <alignment horizontal="center" vertical="center"/>
    </xf>
    <xf numFmtId="0" fontId="28" fillId="18" borderId="2" xfId="0" applyFont="1" applyFill="1" applyBorder="1" applyAlignment="1">
      <alignment horizontal="center" vertical="center"/>
    </xf>
    <xf numFmtId="0" fontId="29" fillId="19" borderId="2" xfId="0" applyFont="1" applyFill="1" applyBorder="1" applyAlignment="1">
      <alignment horizontal="center" vertical="center" wrapText="1"/>
    </xf>
    <xf numFmtId="0" fontId="30" fillId="16" borderId="2" xfId="0" applyFont="1" applyFill="1" applyBorder="1" applyAlignment="1">
      <alignment horizontal="left" vertical="center" wrapText="1"/>
    </xf>
    <xf numFmtId="0" fontId="38" fillId="12" borderId="2" xfId="0" applyFont="1" applyFill="1" applyBorder="1" applyAlignment="1">
      <alignment horizontal="center" vertical="center" wrapText="1"/>
    </xf>
    <xf numFmtId="0" fontId="32" fillId="9" borderId="2" xfId="0" applyFont="1" applyFill="1" applyBorder="1" applyAlignment="1">
      <alignment horizontal="center" vertical="center" wrapText="1"/>
    </xf>
    <xf numFmtId="0" fontId="32" fillId="11" borderId="2" xfId="0" applyFont="1" applyFill="1" applyBorder="1" applyAlignment="1">
      <alignment horizontal="center" vertical="center" wrapText="1"/>
    </xf>
    <xf numFmtId="0" fontId="66" fillId="16" borderId="2" xfId="0" applyFont="1" applyFill="1" applyBorder="1" applyAlignment="1">
      <alignment horizontal="center" vertical="center" wrapText="1"/>
    </xf>
    <xf numFmtId="173" fontId="43" fillId="10" borderId="2" xfId="5" applyNumberFormat="1" applyFont="1" applyFill="1" applyBorder="1" applyAlignment="1">
      <alignment horizontal="center" vertical="center"/>
    </xf>
    <xf numFmtId="0" fontId="0" fillId="0" borderId="2" xfId="0" applyBorder="1" applyAlignment="1">
      <alignment horizontal="center" vertical="center" wrapText="1"/>
    </xf>
    <xf numFmtId="0" fontId="39" fillId="8" borderId="2" xfId="0" applyFont="1" applyFill="1" applyBorder="1" applyAlignment="1">
      <alignment horizontal="center" vertical="center"/>
    </xf>
    <xf numFmtId="0" fontId="6" fillId="15" borderId="2" xfId="0" applyFont="1" applyFill="1" applyBorder="1" applyAlignment="1">
      <alignment horizontal="center" vertical="center" wrapText="1"/>
    </xf>
    <xf numFmtId="0" fontId="6" fillId="15" borderId="2" xfId="0" applyFont="1" applyFill="1" applyBorder="1" applyAlignment="1">
      <alignment horizontal="center" vertical="center"/>
    </xf>
    <xf numFmtId="0" fontId="65" fillId="15" borderId="2" xfId="0" applyFont="1" applyFill="1" applyBorder="1" applyAlignment="1">
      <alignment horizontal="center" vertical="center" wrapText="1"/>
    </xf>
    <xf numFmtId="169" fontId="10" fillId="10" borderId="9" xfId="0" applyNumberFormat="1" applyFont="1" applyFill="1" applyBorder="1" applyAlignment="1">
      <alignment horizontal="center" vertical="center" wrapText="1"/>
    </xf>
    <xf numFmtId="169" fontId="10" fillId="10" borderId="14" xfId="0" applyNumberFormat="1" applyFont="1" applyFill="1" applyBorder="1" applyAlignment="1">
      <alignment horizontal="center" vertical="center" wrapText="1"/>
    </xf>
    <xf numFmtId="169" fontId="10" fillId="10" borderId="9" xfId="0" applyNumberFormat="1" applyFont="1" applyFill="1" applyBorder="1" applyAlignment="1">
      <alignment horizontal="center" vertical="center"/>
    </xf>
    <xf numFmtId="169" fontId="10" fillId="10" borderId="14" xfId="0" applyNumberFormat="1" applyFont="1" applyFill="1" applyBorder="1" applyAlignment="1">
      <alignment horizontal="center" vertical="center"/>
    </xf>
    <xf numFmtId="166" fontId="10" fillId="10" borderId="9" xfId="1" applyNumberFormat="1" applyFont="1" applyFill="1" applyBorder="1" applyAlignment="1">
      <alignment horizontal="center" vertical="center"/>
    </xf>
    <xf numFmtId="166" fontId="10" fillId="10" borderId="14" xfId="1" applyNumberFormat="1" applyFont="1" applyFill="1" applyBorder="1" applyAlignment="1">
      <alignment horizontal="center" vertical="center"/>
    </xf>
    <xf numFmtId="0" fontId="17" fillId="10" borderId="9" xfId="0" applyFont="1" applyFill="1" applyBorder="1" applyAlignment="1">
      <alignment horizontal="center" vertical="center" wrapText="1"/>
    </xf>
    <xf numFmtId="0" fontId="17" fillId="10" borderId="14" xfId="0" applyFont="1" applyFill="1" applyBorder="1" applyAlignment="1">
      <alignment horizontal="center" vertical="center" wrapText="1"/>
    </xf>
    <xf numFmtId="0" fontId="10" fillId="8" borderId="5" xfId="0" applyFont="1" applyFill="1" applyBorder="1" applyAlignment="1">
      <alignment horizontal="right" vertical="center"/>
    </xf>
    <xf numFmtId="0" fontId="10" fillId="8" borderId="72" xfId="0" applyFont="1" applyFill="1" applyBorder="1" applyAlignment="1">
      <alignment horizontal="right" vertical="center"/>
    </xf>
    <xf numFmtId="0" fontId="10" fillId="8" borderId="4" xfId="0" applyFont="1" applyFill="1" applyBorder="1" applyAlignment="1">
      <alignment horizontal="right" vertical="center"/>
    </xf>
    <xf numFmtId="0" fontId="10" fillId="8" borderId="10" xfId="0" applyFont="1" applyFill="1" applyBorder="1" applyAlignment="1">
      <alignment horizontal="center" vertical="center"/>
    </xf>
    <xf numFmtId="0" fontId="10" fillId="8" borderId="15" xfId="0" applyFont="1" applyFill="1" applyBorder="1" applyAlignment="1">
      <alignment horizontal="center" vertical="center"/>
    </xf>
    <xf numFmtId="0" fontId="16" fillId="12" borderId="10" xfId="0" applyFont="1" applyFill="1" applyBorder="1" applyAlignment="1">
      <alignment horizontal="center" vertical="center"/>
    </xf>
    <xf numFmtId="0" fontId="16" fillId="12" borderId="12" xfId="0" applyFont="1" applyFill="1" applyBorder="1" applyAlignment="1">
      <alignment horizontal="center" vertical="center"/>
    </xf>
    <xf numFmtId="0" fontId="17" fillId="0" borderId="21" xfId="0" applyFont="1" applyBorder="1" applyAlignment="1">
      <alignment horizontal="center" vertical="center"/>
    </xf>
    <xf numFmtId="168" fontId="14" fillId="10" borderId="9" xfId="5" applyNumberFormat="1" applyFont="1" applyFill="1" applyBorder="1" applyAlignment="1">
      <alignment horizontal="center" vertical="center"/>
    </xf>
    <xf numFmtId="168" fontId="14" fillId="10" borderId="14" xfId="5" applyNumberFormat="1" applyFont="1" applyFill="1" applyBorder="1" applyAlignment="1">
      <alignment horizontal="center" vertical="center"/>
    </xf>
    <xf numFmtId="0" fontId="16" fillId="0" borderId="10" xfId="0" applyFont="1" applyBorder="1" applyAlignment="1">
      <alignment horizontal="center" vertical="center"/>
    </xf>
    <xf numFmtId="0" fontId="16" fillId="0" borderId="15" xfId="0" applyFont="1" applyBorder="1" applyAlignment="1">
      <alignment horizontal="center" vertical="center"/>
    </xf>
    <xf numFmtId="0" fontId="17" fillId="0" borderId="20" xfId="0" applyFont="1" applyBorder="1" applyAlignment="1">
      <alignment horizontal="center" vertical="center"/>
    </xf>
    <xf numFmtId="0" fontId="17" fillId="0" borderId="32" xfId="0" applyFont="1" applyBorder="1" applyAlignment="1">
      <alignment horizontal="center" vertical="center" wrapText="1"/>
    </xf>
    <xf numFmtId="169" fontId="10" fillId="10" borderId="3" xfId="0" applyNumberFormat="1" applyFont="1" applyFill="1" applyBorder="1" applyAlignment="1">
      <alignment horizontal="center" vertical="center"/>
    </xf>
    <xf numFmtId="169" fontId="10" fillId="10" borderId="37" xfId="0" applyNumberFormat="1" applyFont="1" applyFill="1" applyBorder="1" applyAlignment="1">
      <alignment horizontal="center" vertical="center"/>
    </xf>
    <xf numFmtId="169" fontId="10" fillId="9" borderId="9" xfId="0" applyNumberFormat="1" applyFont="1" applyFill="1" applyBorder="1" applyAlignment="1">
      <alignment horizontal="center" vertical="center" wrapText="1"/>
    </xf>
    <xf numFmtId="169" fontId="10" fillId="9" borderId="1" xfId="0" applyNumberFormat="1" applyFont="1" applyFill="1" applyBorder="1" applyAlignment="1">
      <alignment horizontal="center" vertical="center" wrapText="1"/>
    </xf>
    <xf numFmtId="0" fontId="11" fillId="3" borderId="25" xfId="0" applyFont="1" applyFill="1" applyBorder="1" applyAlignment="1">
      <alignment horizontal="center" vertical="center" wrapText="1"/>
    </xf>
    <xf numFmtId="0" fontId="11" fillId="3" borderId="68" xfId="0" applyFont="1" applyFill="1" applyBorder="1" applyAlignment="1">
      <alignment horizontal="center" vertical="center" wrapText="1"/>
    </xf>
    <xf numFmtId="0" fontId="13" fillId="12" borderId="24" xfId="0" applyFont="1" applyFill="1" applyBorder="1" applyAlignment="1">
      <alignment horizontal="center" vertical="center" wrapText="1"/>
    </xf>
    <xf numFmtId="0" fontId="13" fillId="12" borderId="69" xfId="0" applyFont="1" applyFill="1" applyBorder="1" applyAlignment="1">
      <alignment horizontal="center" vertical="center" wrapText="1"/>
    </xf>
    <xf numFmtId="0" fontId="11" fillId="9" borderId="23" xfId="0" applyFont="1" applyFill="1" applyBorder="1" applyAlignment="1">
      <alignment horizontal="center" vertical="center" wrapText="1"/>
    </xf>
    <xf numFmtId="0" fontId="11" fillId="9" borderId="70"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12" xfId="0" applyFont="1" applyFill="1" applyBorder="1" applyAlignment="1">
      <alignment horizontal="center" vertical="center" wrapText="1"/>
    </xf>
    <xf numFmtId="167" fontId="11" fillId="3" borderId="20" xfId="0" applyNumberFormat="1" applyFont="1" applyFill="1" applyBorder="1" applyAlignment="1">
      <alignment horizontal="center" vertical="center" wrapText="1"/>
    </xf>
    <xf numFmtId="167" fontId="11" fillId="3" borderId="71" xfId="0" applyNumberFormat="1"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39" xfId="0" applyFont="1" applyFill="1" applyBorder="1" applyAlignment="1">
      <alignment horizontal="center" vertical="center"/>
    </xf>
    <xf numFmtId="0" fontId="9" fillId="4" borderId="27"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40" xfId="0" applyFont="1" applyFill="1" applyBorder="1" applyAlignment="1">
      <alignment horizontal="center" vertical="center"/>
    </xf>
    <xf numFmtId="0" fontId="9" fillId="4" borderId="28" xfId="0" applyFont="1" applyFill="1" applyBorder="1" applyAlignment="1">
      <alignment horizontal="center" vertical="center"/>
    </xf>
    <xf numFmtId="0" fontId="10" fillId="5" borderId="16" xfId="0" applyFont="1" applyFill="1" applyBorder="1" applyAlignment="1">
      <alignment horizontal="center" vertical="center"/>
    </xf>
    <xf numFmtId="0" fontId="10" fillId="5" borderId="39" xfId="0" applyFont="1" applyFill="1" applyBorder="1" applyAlignment="1">
      <alignment horizontal="center" vertical="center"/>
    </xf>
    <xf numFmtId="0" fontId="10" fillId="5" borderId="66" xfId="0" applyFont="1" applyFill="1" applyBorder="1" applyAlignment="1">
      <alignment horizontal="center" vertical="center"/>
    </xf>
    <xf numFmtId="0" fontId="10" fillId="5" borderId="26" xfId="0" applyFont="1" applyFill="1" applyBorder="1" applyAlignment="1">
      <alignment horizontal="center" vertical="center"/>
    </xf>
    <xf numFmtId="0" fontId="10" fillId="5" borderId="40" xfId="0" applyFont="1" applyFill="1" applyBorder="1" applyAlignment="1">
      <alignment horizontal="center" vertical="center"/>
    </xf>
    <xf numFmtId="0" fontId="10" fillId="5" borderId="67"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42"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11" fillId="6" borderId="6"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12" borderId="10" xfId="0" applyFont="1" applyFill="1" applyBorder="1" applyAlignment="1">
      <alignment horizontal="center" vertical="center" wrapText="1"/>
    </xf>
    <xf numFmtId="0" fontId="11" fillId="12" borderId="12" xfId="0" applyFont="1" applyFill="1" applyBorder="1" applyAlignment="1">
      <alignment horizontal="center" vertical="center" wrapText="1"/>
    </xf>
    <xf numFmtId="0" fontId="14" fillId="11" borderId="9"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5" fillId="13" borderId="9" xfId="0" applyFont="1" applyFill="1" applyBorder="1" applyAlignment="1">
      <alignment horizontal="center" vertical="center" wrapText="1"/>
    </xf>
    <xf numFmtId="0" fontId="15" fillId="13" borderId="1" xfId="0" applyFont="1" applyFill="1" applyBorder="1" applyAlignment="1">
      <alignment horizontal="center" vertical="center" wrapText="1"/>
    </xf>
    <xf numFmtId="167" fontId="10" fillId="6" borderId="9" xfId="0" applyNumberFormat="1" applyFont="1" applyFill="1" applyBorder="1" applyAlignment="1">
      <alignment horizontal="center" vertical="center" wrapText="1"/>
    </xf>
    <xf numFmtId="167" fontId="10" fillId="6" borderId="1" xfId="0" applyNumberFormat="1" applyFont="1" applyFill="1" applyBorder="1" applyAlignment="1">
      <alignment horizontal="center" vertical="center" wrapText="1"/>
    </xf>
    <xf numFmtId="167" fontId="10" fillId="9" borderId="9" xfId="0" applyNumberFormat="1" applyFont="1" applyFill="1" applyBorder="1" applyAlignment="1">
      <alignment horizontal="center" vertical="center" wrapText="1"/>
    </xf>
    <xf numFmtId="167" fontId="10" fillId="9" borderId="1" xfId="0" applyNumberFormat="1" applyFont="1" applyFill="1" applyBorder="1" applyAlignment="1">
      <alignment horizontal="center" vertical="center" wrapText="1"/>
    </xf>
    <xf numFmtId="0" fontId="10" fillId="9" borderId="9"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79" fillId="27" borderId="9" xfId="0" applyFont="1" applyFill="1" applyBorder="1" applyAlignment="1">
      <alignment wrapText="1"/>
    </xf>
    <xf numFmtId="0" fontId="79" fillId="27" borderId="14" xfId="0" applyFont="1" applyFill="1" applyBorder="1" applyAlignment="1">
      <alignment wrapText="1"/>
    </xf>
    <xf numFmtId="0" fontId="8" fillId="0" borderId="9" xfId="7" applyBorder="1" applyAlignment="1">
      <alignment horizontal="center" vertical="center" wrapText="1"/>
    </xf>
    <xf numFmtId="0" fontId="8" fillId="0" borderId="1" xfId="6" applyBorder="1" applyAlignment="1">
      <alignment horizontal="center" vertical="center" wrapText="1"/>
    </xf>
    <xf numFmtId="0" fontId="80" fillId="27" borderId="9" xfId="0" applyFont="1" applyFill="1" applyBorder="1" applyAlignment="1">
      <alignment vertical="center" wrapText="1"/>
    </xf>
    <xf numFmtId="0" fontId="80" fillId="27" borderId="14" xfId="0" applyFont="1" applyFill="1" applyBorder="1" applyAlignment="1">
      <alignment vertical="center" wrapText="1"/>
    </xf>
    <xf numFmtId="0" fontId="8" fillId="0" borderId="2" xfId="7" applyBorder="1" applyAlignment="1">
      <alignment horizontal="center" vertical="center" wrapText="1"/>
    </xf>
    <xf numFmtId="0" fontId="8" fillId="0" borderId="2" xfId="6" applyBorder="1" applyAlignment="1">
      <alignment horizontal="center" vertical="center" wrapText="1"/>
    </xf>
    <xf numFmtId="0" fontId="6" fillId="0" borderId="15" xfId="0" applyFont="1" applyBorder="1" applyAlignment="1">
      <alignment horizontal="left" vertical="center" wrapText="1"/>
    </xf>
    <xf numFmtId="0" fontId="17" fillId="0" borderId="2" xfId="0" applyFont="1" applyBorder="1" applyAlignment="1">
      <alignment horizontal="left" vertical="center" wrapText="1"/>
    </xf>
    <xf numFmtId="169" fontId="10" fillId="10" borderId="2" xfId="0" applyNumberFormat="1" applyFont="1" applyFill="1" applyBorder="1" applyAlignment="1">
      <alignment horizontal="center" vertical="center" wrapText="1"/>
    </xf>
    <xf numFmtId="169" fontId="10" fillId="10" borderId="2" xfId="0" applyNumberFormat="1" applyFont="1" applyFill="1" applyBorder="1" applyAlignment="1">
      <alignment horizontal="center" vertical="center"/>
    </xf>
    <xf numFmtId="166" fontId="10" fillId="10" borderId="2" xfId="1" applyNumberFormat="1" applyFont="1" applyFill="1" applyBorder="1" applyAlignment="1">
      <alignment horizontal="center" vertical="center"/>
    </xf>
    <xf numFmtId="0" fontId="17" fillId="10" borderId="2" xfId="0" applyFont="1" applyFill="1" applyBorder="1" applyAlignment="1">
      <alignment horizontal="center" vertical="center" wrapText="1"/>
    </xf>
    <xf numFmtId="0" fontId="10" fillId="8" borderId="2" xfId="0" applyFont="1" applyFill="1" applyBorder="1" applyAlignment="1">
      <alignment horizontal="center" vertical="center"/>
    </xf>
    <xf numFmtId="0" fontId="17" fillId="0" borderId="2" xfId="0" applyFont="1" applyBorder="1" applyAlignment="1">
      <alignment horizontal="center" vertical="center"/>
    </xf>
    <xf numFmtId="0" fontId="72" fillId="0" borderId="2" xfId="0" applyFont="1" applyBorder="1" applyAlignment="1">
      <alignment horizontal="center" vertical="center" wrapText="1"/>
    </xf>
    <xf numFmtId="0" fontId="23" fillId="0" borderId="2" xfId="0" applyFont="1" applyBorder="1" applyAlignment="1">
      <alignment horizontal="center" vertical="center" wrapText="1"/>
    </xf>
    <xf numFmtId="0" fontId="16" fillId="12" borderId="2" xfId="0" applyFont="1" applyFill="1" applyBorder="1" applyAlignment="1">
      <alignment horizontal="center" vertical="center"/>
    </xf>
    <xf numFmtId="0" fontId="19" fillId="0" borderId="2" xfId="0" applyFont="1" applyBorder="1" applyAlignment="1">
      <alignment horizontal="center" vertical="center" wrapText="1"/>
    </xf>
    <xf numFmtId="0" fontId="17" fillId="0" borderId="2" xfId="0" applyFont="1" applyBorder="1" applyAlignment="1">
      <alignment horizontal="center" vertical="top" wrapText="1"/>
    </xf>
    <xf numFmtId="0" fontId="17" fillId="0" borderId="2" xfId="0" applyFont="1" applyBorder="1" applyAlignment="1">
      <alignment vertical="center" wrapText="1"/>
    </xf>
    <xf numFmtId="0" fontId="17" fillId="0" borderId="2" xfId="0" applyFont="1" applyBorder="1" applyAlignment="1">
      <alignment vertical="center"/>
    </xf>
    <xf numFmtId="0" fontId="17" fillId="0" borderId="2" xfId="0" applyFont="1" applyBorder="1" applyAlignment="1">
      <alignment horizontal="left" vertical="top" wrapText="1"/>
    </xf>
    <xf numFmtId="0" fontId="10" fillId="21" borderId="2" xfId="0" applyFont="1" applyFill="1" applyBorder="1" applyAlignment="1">
      <alignment horizontal="center" vertical="center"/>
    </xf>
    <xf numFmtId="0" fontId="16" fillId="0" borderId="2" xfId="0" applyFont="1" applyBorder="1" applyAlignment="1">
      <alignment horizontal="center" vertical="center"/>
    </xf>
    <xf numFmtId="169" fontId="17" fillId="10" borderId="2" xfId="0" applyNumberFormat="1" applyFont="1" applyFill="1" applyBorder="1" applyAlignment="1">
      <alignment horizontal="center" vertical="center" wrapText="1"/>
    </xf>
    <xf numFmtId="169" fontId="10" fillId="9" borderId="14" xfId="0" applyNumberFormat="1" applyFont="1" applyFill="1" applyBorder="1" applyAlignment="1">
      <alignment horizontal="center" vertical="center" wrapText="1"/>
    </xf>
    <xf numFmtId="0" fontId="11" fillId="3" borderId="95" xfId="0" applyFont="1" applyFill="1" applyBorder="1" applyAlignment="1">
      <alignment horizontal="center" vertical="center" wrapText="1"/>
    </xf>
    <xf numFmtId="0" fontId="13" fillId="12" borderId="44" xfId="0" applyFont="1" applyFill="1" applyBorder="1" applyAlignment="1">
      <alignment horizontal="center" vertical="center" wrapText="1"/>
    </xf>
    <xf numFmtId="0" fontId="11" fillId="9" borderId="50" xfId="0" applyFont="1" applyFill="1" applyBorder="1" applyAlignment="1">
      <alignment horizontal="center" vertical="center" wrapText="1"/>
    </xf>
    <xf numFmtId="0" fontId="11" fillId="3" borderId="15" xfId="0" applyFont="1" applyFill="1" applyBorder="1" applyAlignment="1">
      <alignment horizontal="center" vertical="center" wrapText="1"/>
    </xf>
    <xf numFmtId="167" fontId="11" fillId="3" borderId="21" xfId="0" applyNumberFormat="1"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12" borderId="15" xfId="0" applyFont="1" applyFill="1" applyBorder="1" applyAlignment="1">
      <alignment horizontal="center" vertical="center" wrapText="1"/>
    </xf>
    <xf numFmtId="0" fontId="14" fillId="11" borderId="14" xfId="0" applyFont="1" applyFill="1" applyBorder="1" applyAlignment="1">
      <alignment horizontal="center" vertical="center" wrapText="1"/>
    </xf>
    <xf numFmtId="0" fontId="15" fillId="13" borderId="14" xfId="0" applyFont="1" applyFill="1" applyBorder="1" applyAlignment="1">
      <alignment horizontal="center" vertical="center" wrapText="1"/>
    </xf>
    <xf numFmtId="167" fontId="10" fillId="6" borderId="14" xfId="0" applyNumberFormat="1" applyFont="1" applyFill="1" applyBorder="1" applyAlignment="1">
      <alignment horizontal="center" vertical="center" wrapText="1"/>
    </xf>
    <xf numFmtId="167" fontId="10" fillId="9" borderId="14" xfId="0" applyNumberFormat="1" applyFont="1" applyFill="1" applyBorder="1" applyAlignment="1">
      <alignment horizontal="center" vertical="center" wrapText="1"/>
    </xf>
    <xf numFmtId="0" fontId="10" fillId="9" borderId="14" xfId="0" applyFont="1" applyFill="1" applyBorder="1" applyAlignment="1">
      <alignment horizontal="center" vertical="center" wrapText="1"/>
    </xf>
    <xf numFmtId="0" fontId="6" fillId="0" borderId="97" xfId="0" applyFont="1" applyBorder="1" applyAlignment="1">
      <alignment horizontal="center" vertical="center"/>
    </xf>
    <xf numFmtId="0" fontId="6" fillId="0" borderId="97" xfId="0" applyFont="1" applyBorder="1" applyAlignment="1">
      <alignment horizontal="center" vertical="center" wrapText="1"/>
    </xf>
    <xf numFmtId="0" fontId="6" fillId="12" borderId="97" xfId="0" applyFont="1" applyFill="1" applyBorder="1" applyAlignment="1">
      <alignment horizontal="center" vertical="center"/>
    </xf>
    <xf numFmtId="0" fontId="6" fillId="0" borderId="41" xfId="0" applyFont="1" applyBorder="1" applyAlignment="1">
      <alignment horizontal="center" vertical="center"/>
    </xf>
    <xf numFmtId="166" fontId="39" fillId="10" borderId="1" xfId="1" applyNumberFormat="1" applyFont="1" applyFill="1" applyBorder="1" applyAlignment="1">
      <alignment horizontal="center" vertical="center"/>
    </xf>
    <xf numFmtId="0" fontId="0" fillId="0" borderId="2" xfId="0" applyBorder="1" applyAlignment="1">
      <alignment horizontal="left" vertical="center" wrapText="1"/>
    </xf>
    <xf numFmtId="0" fontId="6" fillId="0" borderId="41" xfId="0" applyFont="1" applyBorder="1" applyAlignment="1">
      <alignment horizontal="center" vertical="center" wrapText="1"/>
    </xf>
    <xf numFmtId="0" fontId="28" fillId="18" borderId="16" xfId="0" applyFont="1" applyFill="1" applyBorder="1" applyAlignment="1">
      <alignment horizontal="center" vertical="center"/>
    </xf>
    <xf numFmtId="0" fontId="28" fillId="18" borderId="39" xfId="0" applyFont="1" applyFill="1" applyBorder="1" applyAlignment="1">
      <alignment horizontal="center" vertical="center"/>
    </xf>
    <xf numFmtId="0" fontId="28" fillId="18" borderId="66" xfId="0" applyFont="1" applyFill="1" applyBorder="1" applyAlignment="1">
      <alignment horizontal="center" vertical="center"/>
    </xf>
    <xf numFmtId="0" fontId="28" fillId="18" borderId="17" xfId="0" applyFont="1" applyFill="1" applyBorder="1" applyAlignment="1">
      <alignment horizontal="center" vertical="center"/>
    </xf>
    <xf numFmtId="0" fontId="28" fillId="18" borderId="0" xfId="0" applyFont="1" applyFill="1" applyAlignment="1">
      <alignment horizontal="center" vertical="center"/>
    </xf>
    <xf numFmtId="0" fontId="28" fillId="18" borderId="18" xfId="0" applyFont="1" applyFill="1" applyBorder="1" applyAlignment="1">
      <alignment horizontal="center" vertical="center"/>
    </xf>
    <xf numFmtId="0" fontId="29" fillId="19" borderId="37" xfId="0" applyFont="1" applyFill="1" applyBorder="1" applyAlignment="1">
      <alignment horizontal="center" vertical="center" wrapText="1"/>
    </xf>
    <xf numFmtId="0" fontId="29" fillId="19" borderId="0" xfId="0" applyFont="1" applyFill="1" applyAlignment="1">
      <alignment horizontal="center" vertical="center" wrapText="1"/>
    </xf>
    <xf numFmtId="0" fontId="29" fillId="19" borderId="18" xfId="0" applyFont="1" applyFill="1" applyBorder="1" applyAlignment="1">
      <alignment horizontal="center" vertical="center" wrapText="1"/>
    </xf>
    <xf numFmtId="0" fontId="58" fillId="0" borderId="11" xfId="0" applyFont="1" applyFill="1" applyBorder="1" applyAlignment="1">
      <alignment horizontal="left" vertical="center" wrapText="1"/>
    </xf>
    <xf numFmtId="165" fontId="0" fillId="0" borderId="0" xfId="5" applyFont="1" applyAlignment="1">
      <alignment vertical="center"/>
    </xf>
    <xf numFmtId="43" fontId="0" fillId="0" borderId="0" xfId="0" applyNumberFormat="1" applyAlignment="1">
      <alignment vertical="center"/>
    </xf>
    <xf numFmtId="175" fontId="0" fillId="0" borderId="0" xfId="0" applyNumberFormat="1" applyAlignment="1">
      <alignment vertical="center"/>
    </xf>
  </cellXfs>
  <cellStyles count="9">
    <cellStyle name="Hipervínculo" xfId="7" builtinId="8"/>
    <cellStyle name="Hyperlink" xfId="6" xr:uid="{00000000-000B-0000-0000-000008000000}"/>
    <cellStyle name="Millares" xfId="8" builtinId="3"/>
    <cellStyle name="Millares 2" xfId="3" xr:uid="{CFCEE50C-1A59-46FC-8D2D-27032CAD662E}"/>
    <cellStyle name="Moneda" xfId="5" builtinId="4"/>
    <cellStyle name="Normal" xfId="0" builtinId="0"/>
    <cellStyle name="Normal 2" xfId="4" xr:uid="{7A748DF2-9C66-45C8-8742-34C223C2412B}"/>
    <cellStyle name="Normal 6" xfId="2" xr:uid="{1642449C-5B3C-4DAD-A23F-7892383B84DA}"/>
    <cellStyle name="Porcentaje" xfId="1" builtinId="5"/>
  </cellStyles>
  <dxfs count="130">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rgb="FFFFC000"/>
        </patternFill>
      </fill>
    </dxf>
    <dxf>
      <fill>
        <patternFill>
          <bgColor rgb="FFFFC000"/>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0" tint="-0.34998626667073579"/>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rgb="FFFFC000"/>
        </patternFill>
      </fill>
    </dxf>
    <dxf>
      <font>
        <color rgb="FF9C0006"/>
      </font>
      <fill>
        <patternFill>
          <bgColor rgb="FFFFC7CE"/>
        </patternFill>
      </fill>
    </dxf>
    <dxf>
      <fill>
        <patternFill>
          <bgColor rgb="FFFFC000"/>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
      <fill>
        <patternFill>
          <bgColor rgb="FFFFC000"/>
        </patternFill>
      </fill>
    </dxf>
    <dxf>
      <fill>
        <patternFill>
          <bgColor theme="0" tint="-0.34998626667073579"/>
        </patternFill>
      </fill>
    </dxf>
    <dxf>
      <fill>
        <patternFill>
          <bgColor rgb="FFFFC000"/>
        </patternFill>
      </fill>
    </dxf>
    <dxf>
      <fill>
        <patternFill>
          <bgColor rgb="FFFFC000"/>
        </patternFill>
      </fill>
    </dxf>
    <dxf>
      <fill>
        <patternFill>
          <bgColor theme="0" tint="-0.34998626667073579"/>
        </patternFill>
      </fill>
    </dxf>
  </dxfs>
  <tableStyles count="0" defaultTableStyle="TableStyleMedium2" defaultPivotStyle="PivotStyleLight16"/>
  <colors>
    <mruColors>
      <color rgb="FFC2D2E8"/>
      <color rgb="FFA0BA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microsoft.com/office/2017/06/relationships/rdRichValue" Target="richData/rdrichvalue.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microsoft.com/office/2022/10/relationships/richValueRel" Target="richData/richValueRel.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sheetMetadata" Target="metadata.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sharedStrings" Target="sharedStrings.xml"/><Relationship Id="rId28" Type="http://schemas.microsoft.com/office/2017/06/relationships/rdRichValueTypes" Target="richData/rdRichValueTypes.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styles" Target="styles.xml"/><Relationship Id="rId27" Type="http://schemas.microsoft.com/office/2017/06/relationships/rdRichValueStructure" Target="richData/rdrichvaluestructure.xml"/><Relationship Id="rId30"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164.png"/><Relationship Id="rId2" Type="http://schemas.openxmlformats.org/officeDocument/2006/relationships/image" Target="../media/image163.png"/><Relationship Id="rId1" Type="http://schemas.openxmlformats.org/officeDocument/2006/relationships/image" Target="../media/image162.png"/><Relationship Id="rId4" Type="http://schemas.openxmlformats.org/officeDocument/2006/relationships/image" Target="../media/image165.png"/></Relationships>
</file>

<file path=xl/drawings/drawing1.xml><?xml version="1.0" encoding="utf-8"?>
<xdr:wsDr xmlns:xdr="http://schemas.openxmlformats.org/drawingml/2006/spreadsheetDrawing" xmlns:a="http://schemas.openxmlformats.org/drawingml/2006/main">
  <xdr:twoCellAnchor editAs="oneCell">
    <xdr:from>
      <xdr:col>21</xdr:col>
      <xdr:colOff>2091267</xdr:colOff>
      <xdr:row>299</xdr:row>
      <xdr:rowOff>6350</xdr:rowOff>
    </xdr:from>
    <xdr:to>
      <xdr:col>22</xdr:col>
      <xdr:colOff>349250</xdr:colOff>
      <xdr:row>299</xdr:row>
      <xdr:rowOff>358727</xdr:rowOff>
    </xdr:to>
    <xdr:pic>
      <xdr:nvPicPr>
        <xdr:cNvPr id="4" name="Imagen 3">
          <a:extLst>
            <a:ext uri="{FF2B5EF4-FFF2-40B4-BE49-F238E27FC236}">
              <a16:creationId xmlns:a16="http://schemas.microsoft.com/office/drawing/2014/main" id="{5FC04AC5-113B-4E77-B7AD-3DDC6CB7C307}"/>
            </a:ext>
            <a:ext uri="{147F2762-F138-4A5C-976F-8EAC2B608ADB}">
              <a16:predDERef xmlns:a16="http://schemas.microsoft.com/office/drawing/2014/main" pred="{C60E3B9E-E439-B9AF-3CE6-E983D29AF2FA}"/>
            </a:ext>
          </a:extLst>
        </xdr:cNvPr>
        <xdr:cNvPicPr>
          <a:picLocks noChangeAspect="1"/>
        </xdr:cNvPicPr>
      </xdr:nvPicPr>
      <xdr:blipFill>
        <a:blip xmlns:r="http://schemas.openxmlformats.org/officeDocument/2006/relationships" r:embed="rId1"/>
        <a:stretch>
          <a:fillRect/>
        </a:stretch>
      </xdr:blipFill>
      <xdr:spPr>
        <a:xfrm>
          <a:off x="25728507" y="171776390"/>
          <a:ext cx="345863" cy="352377"/>
        </a:xfrm>
        <a:prstGeom prst="rect">
          <a:avLst/>
        </a:prstGeom>
      </xdr:spPr>
    </xdr:pic>
    <xdr:clientData/>
  </xdr:twoCellAnchor>
  <xdr:twoCellAnchor editAs="oneCell">
    <xdr:from>
      <xdr:col>21</xdr:col>
      <xdr:colOff>733425</xdr:colOff>
      <xdr:row>332</xdr:row>
      <xdr:rowOff>104775</xdr:rowOff>
    </xdr:from>
    <xdr:to>
      <xdr:col>22</xdr:col>
      <xdr:colOff>38100</xdr:colOff>
      <xdr:row>333</xdr:row>
      <xdr:rowOff>548218</xdr:rowOff>
    </xdr:to>
    <xdr:pic>
      <xdr:nvPicPr>
        <xdr:cNvPr id="5" name="Imagen 4">
          <a:extLst>
            <a:ext uri="{FF2B5EF4-FFF2-40B4-BE49-F238E27FC236}">
              <a16:creationId xmlns:a16="http://schemas.microsoft.com/office/drawing/2014/main" id="{63E8C00E-09C3-43AB-9FA4-C3C5DBE45DBA}"/>
            </a:ext>
            <a:ext uri="{147F2762-F138-4A5C-976F-8EAC2B608ADB}">
              <a16:predDERef xmlns:a16="http://schemas.microsoft.com/office/drawing/2014/main" pred="{CA9190FF-090C-1103-22D0-864EF5A36CC5}"/>
            </a:ext>
          </a:extLst>
        </xdr:cNvPr>
        <xdr:cNvPicPr>
          <a:picLocks noChangeAspect="1"/>
        </xdr:cNvPicPr>
      </xdr:nvPicPr>
      <xdr:blipFill>
        <a:blip xmlns:r="http://schemas.openxmlformats.org/officeDocument/2006/relationships" r:embed="rId2"/>
        <a:stretch>
          <a:fillRect/>
        </a:stretch>
      </xdr:blipFill>
      <xdr:spPr>
        <a:xfrm>
          <a:off x="24515445" y="190528575"/>
          <a:ext cx="1247775" cy="1014943"/>
        </a:xfrm>
        <a:prstGeom prst="rect">
          <a:avLst/>
        </a:prstGeom>
      </xdr:spPr>
    </xdr:pic>
    <xdr:clientData/>
  </xdr:twoCellAnchor>
  <xdr:twoCellAnchor editAs="oneCell">
    <xdr:from>
      <xdr:col>21</xdr:col>
      <xdr:colOff>1689102</xdr:colOff>
      <xdr:row>371</xdr:row>
      <xdr:rowOff>156482</xdr:rowOff>
    </xdr:from>
    <xdr:to>
      <xdr:col>23</xdr:col>
      <xdr:colOff>177804</xdr:colOff>
      <xdr:row>372</xdr:row>
      <xdr:rowOff>21168</xdr:rowOff>
    </xdr:to>
    <xdr:pic>
      <xdr:nvPicPr>
        <xdr:cNvPr id="8" name="Imagen 7">
          <a:extLst>
            <a:ext uri="{FF2B5EF4-FFF2-40B4-BE49-F238E27FC236}">
              <a16:creationId xmlns:a16="http://schemas.microsoft.com/office/drawing/2014/main" id="{FF35CF20-5E7F-4E62-8318-2A9E6EB35228}"/>
            </a:ext>
            <a:ext uri="{147F2762-F138-4A5C-976F-8EAC2B608ADB}">
              <a16:predDERef xmlns:a16="http://schemas.microsoft.com/office/drawing/2014/main" pred="{CA19EB0B-D6BC-DF3E-8EB0-D75A05873CC5}"/>
            </a:ext>
          </a:extLst>
        </xdr:cNvPr>
        <xdr:cNvPicPr>
          <a:picLocks noChangeAspect="1"/>
        </xdr:cNvPicPr>
      </xdr:nvPicPr>
      <xdr:blipFill>
        <a:blip xmlns:r="http://schemas.openxmlformats.org/officeDocument/2006/relationships" r:embed="rId3"/>
        <a:stretch>
          <a:fillRect/>
        </a:stretch>
      </xdr:blipFill>
      <xdr:spPr>
        <a:xfrm rot="16200000">
          <a:off x="25861360" y="212478544"/>
          <a:ext cx="436186" cy="1216662"/>
        </a:xfrm>
        <a:prstGeom prst="rect">
          <a:avLst/>
        </a:prstGeom>
      </xdr:spPr>
    </xdr:pic>
    <xdr:clientData/>
  </xdr:twoCellAnchor>
  <xdr:twoCellAnchor editAs="oneCell">
    <xdr:from>
      <xdr:col>21</xdr:col>
      <xdr:colOff>1664440</xdr:colOff>
      <xdr:row>368</xdr:row>
      <xdr:rowOff>10583</xdr:rowOff>
    </xdr:from>
    <xdr:to>
      <xdr:col>22</xdr:col>
      <xdr:colOff>644629</xdr:colOff>
      <xdr:row>368</xdr:row>
      <xdr:rowOff>339724</xdr:rowOff>
    </xdr:to>
    <xdr:pic>
      <xdr:nvPicPr>
        <xdr:cNvPr id="9" name="Imagen 8">
          <a:extLst>
            <a:ext uri="{FF2B5EF4-FFF2-40B4-BE49-F238E27FC236}">
              <a16:creationId xmlns:a16="http://schemas.microsoft.com/office/drawing/2014/main" id="{46F3B54C-5C71-4E94-B965-A90A83EDBA93}"/>
            </a:ext>
            <a:ext uri="{147F2762-F138-4A5C-976F-8EAC2B608ADB}">
              <a16:predDERef xmlns:a16="http://schemas.microsoft.com/office/drawing/2014/main" pred="{DA7648FD-1F44-4CC1-BAC2-1A02800A7207}"/>
            </a:ext>
          </a:extLst>
        </xdr:cNvPr>
        <xdr:cNvPicPr>
          <a:picLocks noChangeAspect="1"/>
        </xdr:cNvPicPr>
      </xdr:nvPicPr>
      <xdr:blipFill>
        <a:blip xmlns:r="http://schemas.openxmlformats.org/officeDocument/2006/relationships" r:embed="rId3"/>
        <a:stretch>
          <a:fillRect/>
        </a:stretch>
      </xdr:blipFill>
      <xdr:spPr>
        <a:xfrm rot="16200000">
          <a:off x="25743534" y="210711309"/>
          <a:ext cx="329141" cy="923289"/>
        </a:xfrm>
        <a:prstGeom prst="rect">
          <a:avLst/>
        </a:prstGeom>
      </xdr:spPr>
    </xdr:pic>
    <xdr:clientData/>
  </xdr:twoCellAnchor>
  <xdr:twoCellAnchor editAs="oneCell">
    <xdr:from>
      <xdr:col>21</xdr:col>
      <xdr:colOff>2286000</xdr:colOff>
      <xdr:row>324</xdr:row>
      <xdr:rowOff>10583</xdr:rowOff>
    </xdr:from>
    <xdr:to>
      <xdr:col>22</xdr:col>
      <xdr:colOff>338667</xdr:colOff>
      <xdr:row>324</xdr:row>
      <xdr:rowOff>344852</xdr:rowOff>
    </xdr:to>
    <xdr:pic>
      <xdr:nvPicPr>
        <xdr:cNvPr id="10" name="Imagen 9">
          <a:extLst>
            <a:ext uri="{FF2B5EF4-FFF2-40B4-BE49-F238E27FC236}">
              <a16:creationId xmlns:a16="http://schemas.microsoft.com/office/drawing/2014/main" id="{46EB1469-D0E3-4FF4-B883-BB4CF35BAD35}"/>
            </a:ext>
          </a:extLst>
        </xdr:cNvPr>
        <xdr:cNvPicPr>
          <a:picLocks noChangeAspect="1"/>
        </xdr:cNvPicPr>
      </xdr:nvPicPr>
      <xdr:blipFill>
        <a:blip xmlns:r="http://schemas.openxmlformats.org/officeDocument/2006/relationships" r:embed="rId4"/>
        <a:stretch>
          <a:fillRect/>
        </a:stretch>
      </xdr:blipFill>
      <xdr:spPr>
        <a:xfrm>
          <a:off x="25725120" y="185862383"/>
          <a:ext cx="338667" cy="3342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Mis%20documentos\Downloads\Lote%20Peleter&#237;a%20%20Formato%202026%2029%20abril%202026%20(1).xlsx" TargetMode="External"/><Relationship Id="rId1" Type="http://schemas.openxmlformats.org/officeDocument/2006/relationships/externalLinkPath" Target="https://sena4-my.sharepoint.com/Mis%20documentos/Downloads/Lote%20Peleter&#237;a%20%20Formato%202026%2029%20abril%202026%20(1).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file:///D:\Mis%20documentos\Desktop\CONTRATACION%20%202026\PROCESOS%20SECOP%20II\MATERIALES%20DE%20FORMACI&#211;N\COTIZACIONES\ESTUDIOS%20DE%20MERCADO\LOTE%2010%20AGROINDUSTRIA\Analisis%20estudio%20de%20mercado_2026%20Lote%20Agroindustria.xlsx" TargetMode="External"/><Relationship Id="rId2" Type="http://schemas.microsoft.com/office/2019/04/relationships/externalLinkLongPath" Target="https://sena4-my.sharepoint.com/personal/aechavarriam_sena_edu_co/Documents/Documentos/BIENES%20Y%20SERVICIOS%202026/MATERIALES%20DE%20FORMACION/CODIGOS%20UNSPS/ESTUDIOS%20DE%20MERCADO/LOTE%2010%20AGROINDUSTRIA/Analisis%20estudio%20de%20mercado_2026%20Lote%20Agroindustria.xlsx?C88FE72B" TargetMode="External"/><Relationship Id="rId1" Type="http://schemas.openxmlformats.org/officeDocument/2006/relationships/externalLinkPath" Target="file:///\\C88FE72B\Analisis%20estudio%20de%20mercado_2026%20Lote%20Agroindustria.xlsx"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file:///D:\Mis%20documentos\Desktop\CONTRATACION%20%202026\PROCESOS%20SECOP%20II\MATERIALES%20DE%20FORMACI&#211;N\COTIZACIONES\ESTUDIOS%20DE%20MERCADO\LOTE%202%20AMBIENTAL\An&#225;lisis%20estudio%20de%20mercado%20ambiental.xlsx" TargetMode="External"/><Relationship Id="rId2" Type="http://schemas.microsoft.com/office/2019/04/relationships/externalLinkLongPath" Target="https://sena4-my.sharepoint.com/personal/aechavarriam_sena_edu_co/Documents/Documentos/BIENES%20Y%20SERVICIOS%202026/MATERIALES%20DE%20FORMACION/CODIGOS%20UNSPS/ESTUDIOS%20DE%20MERCADO/LOTE%202%20AMBIENTAL/An&#225;lisis%20estudio%20de%20mercado%20ambiental.xlsx?5C3D53BD" TargetMode="External"/><Relationship Id="rId1" Type="http://schemas.openxmlformats.org/officeDocument/2006/relationships/externalLinkPath" Target="file:///\\5C3D53BD\An&#225;lisis%20estudio%20de%20mercado%20ambiental.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file:///D:\Mis%20documentos\Desktop\CONTRATACION%20%202026\PROCESOS%20SECOP%20II\MATERIALES%20DE%20FORMACI&#211;N\COTIZACIONES\ESTUDIOS%20DE%20MERCADO\LOTE%203%20SST\An&#225;lisis%20estudio%20de%20mercado%20Lote%20SST.xlsx" TargetMode="External"/><Relationship Id="rId2" Type="http://schemas.microsoft.com/office/2019/04/relationships/externalLinkLongPath" Target="https://sena4-my.sharepoint.com/personal/aechavarriam_sena_edu_co/Documents/Documentos/BIENES%20Y%20SERVICIOS%202026/MATERIALES%20DE%20FORMACION/CODIGOS%20UNSPS/ESTUDIOS%20DE%20MERCADO/LOTE%203%20SST/An&#225;lisis%20estudio%20de%20mercado%20Lote%20SST.xlsx?A0573631" TargetMode="External"/><Relationship Id="rId1" Type="http://schemas.openxmlformats.org/officeDocument/2006/relationships/externalLinkPath" Target="file:///\\A0573631\An&#225;lisis%20estudio%20de%20mercado%20Lote%20SST.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ena4-my.sharepoint.com/MATERIALES%20DE%20FORMACI&#211;N/Analisis%20estudio%20de%20mercado_2025.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D:\Mis%20documentos\Downloads\Estudio%20de%20mercado%20ST.V2%20-21-04%20(2).xlsx" TargetMode="External"/><Relationship Id="rId1" Type="http://schemas.openxmlformats.org/officeDocument/2006/relationships/externalLinkPath" Target="file:///D:\Mis%20documentos\Downloads\Estudio%20de%20mercado%20ST.V2%20-21-04%20(2).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D:\Mis%20documentos\Desktop\CONTRATACION%20%202026\PROCESOS%20SECOP%20II\MATERIALES%20DE%20FORMACI&#211;N\COTIZACIONES\ESTUDIOS%20DE%20MERCADO\LOTE%206%20FABLAB\Estudio%20de%20mercado%20FABLAB.xlsx" TargetMode="External"/><Relationship Id="rId1" Type="http://schemas.openxmlformats.org/officeDocument/2006/relationships/externalLinkPath" Target="https://sena4-my.sharepoint.com/personal/aechavarriam_sena_edu_co/Documents/Documentos/BIENES%20Y%20SERVICIOS%202026/MATERIALES%20DE%20FORMACION/CODIGOS%20UNSPS/ESTUDIOS%20DE%20MERCADO/LOTE%206%20FABLAB/Estudio%20de%20mercado%20FABLAB.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file:///D:\Mis%20documentos\Desktop\CONTRATACION%20%202026\PROCESOS%20SECOP%20II\MATERIALES%20DE%20FORMACI&#211;N\COTIZACIONES\ESTUDIOS%20DE%20MERCADO\LOTE%207%20DEPORTES\Analisis%20estudio%20de%20mercado_DEPORTE.xlsx" TargetMode="External"/><Relationship Id="rId2" Type="http://schemas.microsoft.com/office/2019/04/relationships/externalLinkLongPath" Target="https://sena4-my.sharepoint.com/personal/aechavarriam_sena_edu_co/Documents/Documentos/BIENES%20Y%20SERVICIOS%202026/MATERIALES%20DE%20FORMACION/CODIGOS%20UNSPS/ESTUDIOS%20DE%20MERCADO/LOTE%207%20DEPORTES/Analisis%20estudio%20de%20mercado_DEPORTE.xlsx?13D891EE" TargetMode="External"/><Relationship Id="rId1" Type="http://schemas.openxmlformats.org/officeDocument/2006/relationships/externalLinkPath" Target="file:///\\13D891EE\Analisis%20estudio%20de%20mercado_DEPORTE.xlsx" TargetMode="External"/></Relationships>
</file>

<file path=xl/externalLinks/_rels/externalLink9.xml.rels><?xml version="1.0" encoding="UTF-8" standalone="yes"?>
<Relationships xmlns="http://schemas.openxmlformats.org/package/2006/relationships"><Relationship Id="rId3" Type="http://schemas.openxmlformats.org/officeDocument/2006/relationships/externalLinkPath" Target="file:///D:\Mis%20documentos\Desktop\CONTRATACION%20%202026\PROCESOS%20SECOP%20II\MATERIALES%20DE%20FORMACI&#211;N\COTIZACIONES\ESTUDIOS%20DE%20MERCADO\LOTE%208%20SISTEMAS\An&#225;lisis%20Estudio%20de%20Mercado%20-%20Lote%20SISTEMAS%202026%20(1).xlsx" TargetMode="External"/><Relationship Id="rId2" Type="http://schemas.microsoft.com/office/2019/04/relationships/externalLinkLongPath" Target="https://sena4-my.sharepoint.com/personal/aechavarriam_sena_edu_co/Documents/Documentos/BIENES%20Y%20SERVICIOS%202026/MATERIALES%20DE%20FORMACION/CODIGOS%20UNSPS/ESTUDIOS%20DE%20MERCADO/LOTE%208%20SISTEMAS/An&#225;lisis%20Estudio%20de%20Mercado%20-%20Lote%20SISTEMAS%202026%20(1).xlsx?07E0C3B4" TargetMode="External"/><Relationship Id="rId1" Type="http://schemas.openxmlformats.org/officeDocument/2006/relationships/externalLinkPath" Target="file:///\\07E0C3B4\An&#225;lisis%20Estudio%20de%20Mercado%20-%20Lote%20SISTEMAS%202026%20(1).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D:\Mis%20documentos\Downloads\LOTE%20MADERA%202026.xlsx" TargetMode="External"/><Relationship Id="rId1" Type="http://schemas.openxmlformats.org/officeDocument/2006/relationships/externalLinkPath" Target="file:///D:\Mis%20documentos\Downloads\LOTE%20MADERA%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tizaciones "/>
      <sheetName val="Hoja1"/>
      <sheetName val="Código UNSPSC"/>
      <sheetName val="Cotizaciones  (2)"/>
      <sheetName val="Unidades"/>
      <sheetName val="Lote Peletería  Formato 2026 29"/>
    </sheetNames>
    <sheetDataSet>
      <sheetData sheetId="0" refreshError="1"/>
      <sheetData sheetId="1" refreshError="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Cotizaciones "/>
      <sheetName val="Código UNSPSC"/>
      <sheetName val="Lote Agroindustria"/>
      <sheetName val="Unidades"/>
      <sheetName val="Analisis estudio de mercado_202"/>
    </sheetNames>
    <sheetDataSet>
      <sheetData sheetId="0"/>
      <sheetData sheetId="1"/>
      <sheetData sheetId="2">
        <row r="2">
          <cell r="B2">
            <v>50305601</v>
          </cell>
          <cell r="C2" t="str">
            <v>FRUTA FRESCA PIÑA GOLD</v>
          </cell>
          <cell r="D2" t="str">
            <v>Grado alimentario, sin daños fisiológicos, Brix ≥ 12</v>
          </cell>
        </row>
        <row r="3">
          <cell r="B3">
            <v>50302003</v>
          </cell>
          <cell r="C3" t="str">
            <v>FRUTA FRESCA MORA DE CASTILLA</v>
          </cell>
          <cell r="D3" t="str">
            <v>Fruta sana, limpia, sin cuerpos extraños; madurez tecnológica</v>
          </cell>
        </row>
        <row r="4">
          <cell r="B4">
            <v>50303704</v>
          </cell>
          <cell r="C4" t="str">
            <v>FRUTA FRESCA GUAYABA PERA</v>
          </cell>
          <cell r="D4" t="str">
            <v>Fruta entera, limpia, sin golpes, aroma característico; madurez 3–4</v>
          </cell>
        </row>
        <row r="5">
          <cell r="B5">
            <v>50305301</v>
          </cell>
          <cell r="C5" t="str">
            <v>FRUTA FRESCA DURAZNO</v>
          </cell>
          <cell r="D5" t="str">
            <v>Fruta firme, sin magulladuras, calibre homogéneo</v>
          </cell>
        </row>
        <row r="6">
          <cell r="B6">
            <v>50304524</v>
          </cell>
          <cell r="C6" t="str">
            <v>FRUTA FRESCA MANGO TOMMY</v>
          </cell>
          <cell r="D6" t="str">
            <v>Madurez intermedia, pulpa firme, sin exudados; sin daños fisiológicos; calibre medio</v>
          </cell>
        </row>
        <row r="7">
          <cell r="B7">
            <v>50302701</v>
          </cell>
          <cell r="C7" t="str">
            <v>FRUTA FRESCA ARANDÁNOS
 Empacada en estuche x 125 g</v>
          </cell>
          <cell r="D7" t="str">
            <v>Baya globosa de color negro azulado cuyo diámetro se
encuentra entre los 6mm y los 15mm. Empacada en estuche x 125 g; sin cuerpos extraños, ni daños fisiologicos</v>
          </cell>
        </row>
        <row r="8">
          <cell r="B8">
            <v>50304101</v>
          </cell>
          <cell r="C8" t="str">
            <v>FRUTA FRESCA LIMÓN</v>
          </cell>
          <cell r="D8" t="str">
            <v>Fruta cítrica, carnosa y semiácida. Forma esférica u ovalada, con cáscara gruesa y lisa. Tamaño: Varía de 5 a 25 cm de largo (según variedad). Peso: Variable, comúnmente entre 50 gr o más por unidad.  Libres de humedad externa anormal, tierra, plagas o residuos de agroquímicos</v>
          </cell>
        </row>
        <row r="9">
          <cell r="B9">
            <v>50305011</v>
          </cell>
          <cell r="C9" t="str">
            <v>FRUTA FRESCA NARANJA CALIFORNIA NAVEL</v>
          </cell>
          <cell r="D9" t="str">
            <v>Fruto redondeado a ligeramente alargado con un "ombligo" característico en el ápice. Piel (Corteza): Grosor medio, de textura suave a ligeramente rugosa y fácil de pelar. Calibres y Peso: Generalmente grandes. Calibres comunes oscilan entre 76 y 80 mm de diámetro. El peso unitario promedio está entre 210 y 240 g</v>
          </cell>
        </row>
        <row r="10">
          <cell r="B10">
            <v>50305207</v>
          </cell>
          <cell r="C10" t="str">
            <v>FRUTA FRESCA MARACUYA</v>
          </cell>
          <cell r="D10" t="str">
            <v>Fruta de forma redonda u ovalada, con cáscara dura, lisa (o rugosa al madurar) de color amarillo brillante. Grados Brix (Madurez): Superior a 13° - 14° (indica dulzura).</v>
          </cell>
        </row>
        <row r="11">
          <cell r="B11">
            <v>50161509</v>
          </cell>
          <cell r="C11" t="str">
            <v>AZUCAR BLANCA REFINADA
Empacado en bolsa x 2.5 kilos</v>
          </cell>
          <cell r="D11" t="str">
            <v>Azucar blanca refinado empacado en bolsa x 2.5 kilos 
Sacarosa ≥ 99.5%; granulometría media; grado alimentario</v>
          </cell>
        </row>
        <row r="12">
          <cell r="B12">
            <v>12164501</v>
          </cell>
          <cell r="C12" t="str">
            <v>ÁCIDO CITRICO
Presentación bolsa x 250 g</v>
          </cell>
          <cell r="D12" t="str">
            <v>Producto sólido, para uso en la industria de alimentos.  
Pureza mínima del 99%, envasado en bolsas de 
polietileno, sellado herméticamente, rotulado con el 
nombre del producto, productor y/o envasador, peso, 
lote de producción, fecha de vencimiento superior a 
doce meses. Cumplir con la resolución 2606 de 2009 
y la NTC 1582. Presentación bolsa x 250 g</v>
          </cell>
        </row>
        <row r="13">
          <cell r="B13">
            <v>12161805</v>
          </cell>
          <cell r="C13" t="str">
            <v>Pectina cítrica
HM 150–200 SAG; grado alimentario.
Bolsa x 500 g</v>
          </cell>
          <cell r="D13" t="str">
            <v>Acción lenta, Polvo color blanco crema. Producto 
sólido, para uso en la industria de alimentos.  
Pureza mínima del 90%. Presentación kilogramo, 
envasado en bolsas de polietileno, sellado 
herméticamente, rotulado con el nombre del 
producto, productor y/o envasador, peso, lote de 
producción, fecha de vencimiento superior a doce 
meses; cumplir con la Resolución 2606 de 2009 y 
la NTC 1582.</v>
          </cell>
        </row>
        <row r="14">
          <cell r="B14">
            <v>50192405</v>
          </cell>
          <cell r="C14" t="str">
            <v>Gelatina Sin 
Sabor 
Bolsa x 500 g</v>
          </cell>
          <cell r="D14" t="str">
            <v>Tipo C. Producto sólido en polvo, para uso en la 
industria de alimentos. Pureza mínima del 90%. 
Presentación por kilogramo, envasado en bolsas 
de polietileno, sellado herméticamente. Rotulado 
con el nombre del producto, productor y/o 
envasador, peso, lote de producción, fecha de 
vencimiento superior a doce meses; cumplir con la 
resolución 2606 de 2009 y la NTC 1582.</v>
          </cell>
        </row>
        <row r="15">
          <cell r="B15">
            <v>50161509</v>
          </cell>
          <cell r="C15" t="str">
            <v>Glucosa 
Jarabe de 
Maíz
Presentación Recipiente plástico con tapa x 700 g</v>
          </cell>
          <cell r="D15" t="str">
            <v xml:space="preserve">Líquido espeso, incoloro o amarillento. Soluble en 
agua y glicerina. Ligeramente soluble en alcohol. 
Presentado en envase que garantice 
hermeticidad. Presentación Recipiente plástico con tapa x 700 g. </v>
          </cell>
        </row>
        <row r="16">
          <cell r="B16">
            <v>50131701</v>
          </cell>
          <cell r="C16" t="str">
            <v>Mantequilla sin sal x 250 gramos</v>
          </cell>
          <cell r="D16" t="str">
            <v>Mantequilla de origen animal, sin sal, empacado en caja impresa  y envuelto en papel parafinado, rotulada con el nombre del producto, nombre del productor o empacador (marca comercial), fecha de empaque, peso, lote de producción y fecha de vencimiento.</v>
          </cell>
        </row>
        <row r="17">
          <cell r="B17">
            <v>50131702</v>
          </cell>
          <cell r="C17" t="str">
            <v>Crema de leche light larga vida, bolsa x 180 
gramos</v>
          </cell>
          <cell r="D17" t="str">
            <v>Crema de leche con el 25% de grasa. el producto debe estar rotulado con el nombre del producto, productor y/o empacador (marca comercial), peso, lote de producción, fecha de vencimiento superior a doce meses, cumplir con la resolución 2606 de 2009,  el proveedor debe presentar ficha técnica del producto y presentar registro de importación en caso que aplique.</v>
          </cell>
        </row>
        <row r="18">
          <cell r="B18">
            <v>46181708</v>
          </cell>
          <cell r="C18" t="str">
            <v>Gorro desechable tipo oruga, paquete x 100 unidades</v>
          </cell>
          <cell r="D18" t="str">
            <v>Gorro desechables tipo oruga,  está diseñado en tela no tejida de polipropileno altamente transpirable y confortable con doble línea de elástico suave y resistente que no ejerce presión ensamblado por ultrasonido y libre de costuras; que permite la ventilación y cumple con la función de retener la caída del cabello, ofreciendo resistencia al desgarre o ruptura. Talla única. Color: blanco o celeste, según el solicitado.</v>
          </cell>
        </row>
        <row r="19">
          <cell r="B19">
            <v>46181541</v>
          </cell>
          <cell r="C19" t="str">
            <v>Guante de nitrilo calibre de 20 a 30ml
caja x 100 unidades</v>
          </cell>
          <cell r="D19" t="str">
            <v>Par de guantes de nitrilo, resistente a solventes compuesto de nitrilo. Calibre 20 a 30ml, están diseñados para manipular residuos peligrosos de todo tipo como los  inflamables, corrosivos, explosivos, biológicos y tóxicos, gracias a su elevada densidad. Material látex natural, alto rendimiento. hecho de materiales que cumplen con las normas de la FDA para el contacto con alimentos. Talla M</v>
          </cell>
        </row>
        <row r="20">
          <cell r="B20">
            <v>47131803</v>
          </cell>
          <cell r="C20" t="str">
            <v>Desinfectante amonio cuaternario x litro.</v>
          </cell>
          <cell r="D20" t="str">
            <v>Limpiador líquido germicida y bactericida en base de Amonio Cuaternario, tensoactivos, secuestrantes y desodorizantes mezclados en solución acuosa resistente a dilución en aguas duras por  galón. El Amonio cuaternario debe representar la familia de compuestos antimicrobianos, considerados como agentes activos catiónicos potentes.  Estabilidad de un año en condiciones normales de almacenamiento.  Fecha de vencimiento mínima de 1 año a partir de la entrega. Recipiente plastico con tapa x litro</v>
          </cell>
        </row>
        <row r="21">
          <cell r="B21">
            <v>53131626</v>
          </cell>
          <cell r="C21" t="str">
            <v>Desinfectante en gel para manos
Frasco plastico con tapa dosificadora - dispensadora x litro</v>
          </cell>
          <cell r="D21" t="str">
            <v>Gel Sanitizador, antiséptico, desinfectante de aplicación externa, para manos;  elaborado con 100% etanol naturalmente renovable al 70%, sin fragancia, debe eliminar el 99% de los gérmenes más comunes al contacto, no requiere agua. El producto debe contar con la notificación sanitaria para cosméticos. Fecha de vencimiento mínima de 1 año a partir de la entrega. Frasco plastico con tapa dosificadora - dispensadora x litro</v>
          </cell>
        </row>
        <row r="22">
          <cell r="B22">
            <v>53131608</v>
          </cell>
          <cell r="C22" t="str">
            <v>Jabón líquido antibacterial x litro.
Frasco plastico con tapa dosificadora - dispensadora x litro</v>
          </cell>
          <cell r="D22" t="str">
            <v>Jabón liquido desinfectante y  antibacterial de amplio espectro con agentes humectantes. útil para el lavado y desinfección de manos, no irritante, pH neutro, biodegradable, uso en empresas de alimentos, Incoloro, inoloro. El producto debe contar con la notificación sanitaria para cosmeticos. Fecha de vencimiento minimo 1 año a partir de la fecha de entrega. Frasco plastico con tapa dosificadora - dispensadora x litro</v>
          </cell>
        </row>
        <row r="23">
          <cell r="B23">
            <v>47131502</v>
          </cell>
          <cell r="C23" t="str">
            <v>Limpión desechable x 400 metros</v>
          </cell>
          <cell r="D23" t="str">
            <v>Toalla de papel absorbente, color natural, ideal para secado y impieza de superficies y utensilios en industrias de alimentos, no debe dejar residuos, absorbe todo tipo de liquidos y remueve la grasa. Elaborado con papel reciclabe, 100% higienico para limpiar y botar. Producto 100% biodegradabe. Diametro del rollo entre 299 y 301 mm, longitud mínima del rollo 400 m, Paquete por rollo 1 unidad, sin fragancia. Tiempo de vida util 2 años. Peso basico g/m2 minimo 29,5 - máximo 30,5.  Numero de hojas 1 unidad. Peso neto Unidad mínimo 4956 g Máximo 5166 g.  Fecha de vencimiento mínima de 1 año a partir de la entrega.  Rollo x 400 metros</v>
          </cell>
        </row>
        <row r="24">
          <cell r="B24">
            <v>47131502</v>
          </cell>
          <cell r="C24" t="str">
            <v>Paños de limpieza 
rollo x 88 hojas</v>
          </cell>
          <cell r="D24" t="str">
            <v>Hojas con medidas mínimas de 28 cm x 42 cm o superior, limpiador industrial, con alto poder de absorción de grasas, solvente y aceites, tecnologia de bolsillos en el paño para un mayor poder de abrasión y mayor volumen, alta resistencia, baja liberación de partículas; antibacterial,  paños de limpieza  hechos con material hidrotejido compuesto por 80% celulosa (biodegradable) y 20% polipropileno (no biodegradable). Polipropileno  químicamente inerte, no debe contaminar las fuentes de agua cuando es desechado en rellenos sanitarios;  con una excelente capacidad y velocidad de absorción de líquidos y una alta resistencia.  Fecha de vencimiento mínima de 1 año a partir de la entrega. Rollo x 88 hojas</v>
          </cell>
        </row>
        <row r="25">
          <cell r="B25">
            <v>52151644</v>
          </cell>
          <cell r="C25" t="str">
            <v>Atomizador plástico con tapa</v>
          </cell>
          <cell r="D25" t="str">
            <v>Atomizador plástico con tapa, de capacidad de 500 ml, liviano, sistema rociador graduable. Material polietileno teréftalato - PET. Envase ovalado con diseño anatomico para el agarre, con zona de etiqueta lisa y sobresaliente en el envase, anillos en la base para dar fortaleza al envase, cuerpo con textura lisa y brillante. Color transparente.</v>
          </cell>
        </row>
        <row r="26">
          <cell r="B26">
            <v>41103206</v>
          </cell>
          <cell r="C26" t="str">
            <v xml:space="preserve">Detergente 
Desengrasante </v>
          </cell>
          <cell r="D26" t="str">
            <v xml:space="preserve">Detergente desengrasante de baja dilución, 
especialmente formulado para la limpieza de 
superficies en general, pH neutro para la industria de 
alimentos, con componentes biodegradables y mínimo 
20% de componente activo. Presentación galón x 4 L, rotulado con nombre del producto, peso, lote de 
producción y fecha de vencimiento E28 </v>
          </cell>
        </row>
        <row r="27">
          <cell r="B27">
            <v>47121803</v>
          </cell>
          <cell r="C27" t="str">
            <v>Esponja lava loza</v>
          </cell>
          <cell r="D27" t="str">
            <v>Fibra plástica, tipo sabra, rollo x 33 m. Se usa como 
esponja abrasiva para superficies, equipos y utensilios.</v>
          </cell>
        </row>
        <row r="28">
          <cell r="B28">
            <v>47131803</v>
          </cell>
          <cell r="C28" t="str">
            <v>Desinfectante 
Hipoclorito de 
Sodio</v>
          </cell>
          <cell r="D28" t="str">
            <v xml:space="preserve">Hipoclorito de sodio al 13%, presentación por galón de 
3,8 litros. Rotulado con nombre del producto, cantidad, 
lote de producción y fecha de vencimiento. </v>
          </cell>
        </row>
        <row r="29">
          <cell r="B29">
            <v>52152010</v>
          </cell>
          <cell r="C29" t="str">
            <v>Frasco o envase de vidrio</v>
          </cell>
          <cell r="D29" t="str">
            <v>Frascos o envase de vidrio de capacidad entre 100–150 mL; boca ancha; vidrio templado; apto para tratamiento térmico</v>
          </cell>
        </row>
        <row r="30">
          <cell r="B30">
            <v>52151504</v>
          </cell>
          <cell r="C30" t="str">
            <v>Tapa metálica twist-off</v>
          </cell>
          <cell r="D30" t="str">
            <v>Con liner plastisol; resistencia térmica; compatible con frasco o envase de vidrio de capaciad entre 100–150 mL; boca ancha; vidrio templado; apto para tratamiento térmico</v>
          </cell>
        </row>
        <row r="31">
          <cell r="B31">
            <v>52152010</v>
          </cell>
          <cell r="C31" t="str">
            <v>Frasco o envase de vidrio</v>
          </cell>
          <cell r="D31" t="str">
            <v>Frascos o envase de vidrio de capacidad entre 200–250 mL; boca ancha; vidrio templado; apto para tratamiento térmico</v>
          </cell>
        </row>
        <row r="32">
          <cell r="B32">
            <v>52151504</v>
          </cell>
          <cell r="C32" t="str">
            <v>Tapa metálica twist-off</v>
          </cell>
          <cell r="D32" t="str">
            <v>Con liner plastisol; resistencia térmica; compatible con frasco envase de vidrio de capaciad entre 200–250 mL; boca ancha; vidrio templado; apto para tratamiento térmico</v>
          </cell>
        </row>
        <row r="33">
          <cell r="B33">
            <v>52151901</v>
          </cell>
          <cell r="C33" t="str">
            <v>Capacillo blanco de papel No 0. Paquete x 1000 unidades</v>
          </cell>
          <cell r="D33" t="str">
            <v>Capacillo No 0 base de 22 mm. moldecitos o recipientes de papel encerado, de color blanco. Paquete x 1000 unidades</v>
          </cell>
        </row>
        <row r="34">
          <cell r="B34">
            <v>52151901</v>
          </cell>
          <cell r="C34" t="str">
            <v>Capacillo blanco de papel No 1. Paquete x 1000 unidades</v>
          </cell>
          <cell r="D34" t="str">
            <v>Capacillo No 1 base de 25 mm. moldecitos o recipientes de papel encerado, de color blanco. Paquete x 1000 unidades</v>
          </cell>
        </row>
        <row r="35">
          <cell r="B35">
            <v>46181500</v>
          </cell>
          <cell r="C35" t="str">
            <v>TAPABOCAS DESECHABLE TERMOSELLADO 3 CAPAS</v>
          </cell>
          <cell r="D35" t="str">
            <v>Tapabocas desechable estándar, de un solo uso compuesto por 3 capas de tela no tejida (polipropileno), termosellado por ultrasonido, con BFE &gt; 95%.
Cuenta con 3 pliegues, clip nasal ajustable y elásticos de sujeción, diseñado para alta filtración de partículas y resistencia a fluidos. Color azul o blanco. Caja x 50 unidades</v>
          </cell>
        </row>
        <row r="36">
          <cell r="B36">
            <v>52151704</v>
          </cell>
          <cell r="C36" t="str">
            <v>Cuchara</v>
          </cell>
          <cell r="D36" t="str">
            <v xml:space="preserve">CUCHARAS PARA SOPA, en acero inoxidable. 
Material apto para el contacto en alimentos. </v>
          </cell>
        </row>
        <row r="37">
          <cell r="B37">
            <v>52151702</v>
          </cell>
          <cell r="C37" t="str">
            <v xml:space="preserve">Cuchillo </v>
          </cell>
          <cell r="D37" t="str">
            <v>Cuchillo profesional de hoja afilada, ancho 5 cm, alto 2 cm, largo 16cm y corte preciso,en acero inoxidable, mango de polipropileno moldeado blanco Certificacion NSF, libre de high carbon</v>
          </cell>
        </row>
        <row r="38">
          <cell r="B38">
            <v>52151702</v>
          </cell>
          <cell r="C38" t="str">
            <v xml:space="preserve">Cuchillo </v>
          </cell>
          <cell r="D38" t="str">
            <v>Cuchillo profesional de hoja afilada, ancho 7 cm, alto 35 cm, largo 2cm y corte preciso,en acero inoxidable, mango de polipropileno moldeado blanco Certificacion NSF, libre de high carbon.</v>
          </cell>
        </row>
        <row r="39">
          <cell r="B39">
            <v>52151603</v>
          </cell>
          <cell r="C39" t="str">
            <v>Rallador profesional</v>
          </cell>
          <cell r="D39" t="str">
            <v>Rallador profesional en acero inoxidable, cinco usos, de 8,5", con cuerpo inoxidable, asa de ABS y acero inoxidable. Permite realizar 5 tipos de cortes: rallado grueso, fino, juliana y especias. Ancho 13,2 cm largo 13,2 cm.</v>
          </cell>
        </row>
        <row r="40">
          <cell r="B40">
            <v>52151636</v>
          </cell>
          <cell r="C40" t="str">
            <v>Raspe en acero inoxidable 15 a 24cm</v>
          </cell>
          <cell r="D40" t="str">
            <v>Raspe con hoja de acero inoxidable, cortador y con mango blanco o negro de polipropileno está fabricado Divida su masa para el control de las porciones o simplemente asegúrese de que está utilizando su masa de manera eficiente con este raspador de masa. Este raspador de masa de acero tiene una medida de 15.24 cm x 7.62 cm. Úsalo para despegar o recoger una pasta, crema, chocolate derretido de las paredes de un recipiente o una placa</v>
          </cell>
        </row>
        <row r="41">
          <cell r="B41">
            <v>52151636</v>
          </cell>
          <cell r="C41" t="str">
            <v>Raspe o raspador plástico</v>
          </cell>
          <cell r="D41" t="str">
            <v>Recolector de masa adherida en diferentes superficies. De 8 cm a 13 cm de ancho, forma rectangular de color blanco, con una perforación que permite que sea colgada, material plàstica.</v>
          </cell>
        </row>
        <row r="42">
          <cell r="B42">
            <v>52152002</v>
          </cell>
          <cell r="C42" t="str">
            <v>Set x 3 Bowls Recipiente plástico para microondas 1,5 a 2 lt</v>
          </cell>
          <cell r="D42" t="str">
            <v>Bowls plásticos (PP) prácticos para derretir o fundir chocolate en el microondas. Incluye tapa protectora, espátula y soporte para los dedos. El bowl grande cuenta con un pico en el lateral que aporta mayor practicidad a la hora de verter el chocolate derretido en los moldes. Facilita la fusión del chocolate en pocos minutos y lo deja con una textura suave, homogénea y brillante. Libre de BPA.L.</v>
          </cell>
        </row>
        <row r="43">
          <cell r="B43">
            <v>52152002</v>
          </cell>
          <cell r="C43" t="str">
            <v>Bowls Recipiente plástico para microondas 3 a 3,5 lt</v>
          </cell>
          <cell r="D43" t="str">
            <v>Recipiente plástico,  tipo bowl, media esfera, . Base interna redonda y lisa, con curvatura continua, Borde  superior con curvatura lisa y continua,  Producto originalmente sin tapa,  aptos para microondas y libres de BPA (Bisfenol A), recipiente hermético, de excelente calidad, material resistente y duradero, polipropileno.  Uso Doméstico, ideal para almacenar y conservar mejor los alimentos. Color blanco o transparente, capacidad 3 a 3,5 litros.</v>
          </cell>
        </row>
        <row r="44">
          <cell r="B44">
            <v>52152002</v>
          </cell>
          <cell r="C44" t="str">
            <v>Recipiente plástico redondos con tapa, 3,6 lt</v>
          </cell>
          <cell r="D44" t="str">
            <v>Recipiente hermético con tapa. Capacidad: 3,6 L. Material plástico libre de BPA (Bisfenol A). Ideal para almacenar y conservar los alimentos. Color traslúcido.</v>
          </cell>
        </row>
        <row r="45">
          <cell r="B45">
            <v>52151606</v>
          </cell>
          <cell r="C45" t="str">
            <v>Tabla para cortar en acero inoxidable</v>
          </cell>
          <cell r="D45" t="str">
            <v>Esta tabla para picar, fabricada en acero inoxidable, es resistente e higiénica, además no absorbe olores ni bacterias. Con un largo de 29 cm y un ancho de 20 cm</v>
          </cell>
        </row>
        <row r="46">
          <cell r="B46">
            <v>48101902</v>
          </cell>
          <cell r="C46" t="str">
            <v>Tenedor en acero inoxidable</v>
          </cell>
          <cell r="D46" t="str">
            <v>Tenedor, accesorio menaje, piezas para servir, fabricado en acero inoxidable. Ancho 4,5 cm x 25 cm de largo.</v>
          </cell>
        </row>
        <row r="47">
          <cell r="B47">
            <v>52151648</v>
          </cell>
          <cell r="C47" t="str">
            <v>Termòmetro de punzòn digital</v>
          </cell>
          <cell r="D47" t="str">
            <v>Termòmetro de punzòn, Características:* Voltaje de funcionamiento: 1.5V (batería AG13 incluida)* Precisión: 0,0 °C a +80 °C (± 1 ° C o 2 º F)* Rango de medición: -50 º C - + 300 ° C (-58 ° F a 572 ° F)* Visualización seleccionable en °C y °F* Memoria de última medida* Indicador de batería baja*15 minutos de apagado automático para ahorro de energía</v>
          </cell>
        </row>
        <row r="48">
          <cell r="B48">
            <v>14121806</v>
          </cell>
          <cell r="C48" t="str">
            <v>Papel parafinado paquete rollo x 20 metros</v>
          </cell>
          <cell r="D48" t="str">
            <v>Rollo Papel Parafinado rollo x 20 metross Anti Graso Ecológico</v>
          </cell>
        </row>
        <row r="49">
          <cell r="B49">
            <v>41111500</v>
          </cell>
          <cell r="C49" t="str">
            <v>Balanza gramera digital</v>
          </cell>
          <cell r="D49" t="str">
            <v>Balanza gramera digital, con graduación de 1 en 1 gr lo que permite la exactitud. Además incorpora 2 Unidades de peso: gramos y onzas. Funciona con pilas. Capacidad max 5 kilos, minimo 1 gramo</v>
          </cell>
        </row>
        <row r="50">
          <cell r="B50">
            <v>52151632</v>
          </cell>
          <cell r="C50" t="str">
            <v>Manga pastelera
paquete x 100 
unidades</v>
          </cell>
          <cell r="D50" t="str">
            <v>Manga Pastelera desechable por 45 cm de larga, fabricadas en polietileno de alta densidad resistente para rellenos y decoración en Pastelería.</v>
          </cell>
        </row>
        <row r="51">
          <cell r="B51">
            <v>48101915</v>
          </cell>
          <cell r="C51" t="str">
            <v xml:space="preserve">Bandeja multiusos en alumnio 38 x 26 cm, </v>
          </cell>
          <cell r="D51" t="str">
            <v xml:space="preserve">Bandeja medianas fabricadas en aluminio de gran calibre que garantiza un calentamiento uniforme para un perfecto horneado. Superficie antiadherente para una fácil liberación y una limpieza rápida.. Medidas 38 cm x 26 cm, complemento de mesa, accesorio de servir, tipo bandeja, liviana, práctica, fácil de limpiar. </v>
          </cell>
        </row>
        <row r="52">
          <cell r="B52">
            <v>48101800</v>
          </cell>
          <cell r="C52" t="str">
            <v xml:space="preserve">Batidor de globo en acero </v>
          </cell>
          <cell r="D52" t="str">
            <v>Batidor piano de mano fabricado en acero inoxidable, de 40 cm de largo, ideal para mezclar huevos, salsas y masas.
Apto para lavaplatos.</v>
          </cell>
        </row>
        <row r="53">
          <cell r="B53">
            <v>52151616</v>
          </cell>
          <cell r="C53" t="str">
            <v>Espátula o lambona para cremas frías de 35 cm a 40 cm</v>
          </cell>
          <cell r="D53" t="str">
            <v>Espátula de silicona de 25,4 cm de largo, resistente al calor hasta 316 ° C (600 ° F), su mango es cómodo de usar y lo suficientemente largo como para llegar a los tazones de mezcla profunda. Este raspador de silicona no se doblará ni deformará debido al uso pesado y es perfecto para eliminar la masa pegajosa y la masa para galletas de los tazones para mezclar.</v>
          </cell>
        </row>
        <row r="54">
          <cell r="B54">
            <v>52151616</v>
          </cell>
          <cell r="C54" t="str">
            <v>Espátula para repostería largas, plana de 25 cm a 30 cm</v>
          </cell>
          <cell r="D54" t="str">
            <v>Espátula en acero inoxidable, para decoración. Plana. Medidas de 25 cm a 30 cm de largo Certificacion NSF, libre de high carbon. Por unidad.</v>
          </cell>
        </row>
        <row r="55">
          <cell r="B55">
            <v>52151616</v>
          </cell>
          <cell r="C55" t="str">
            <v>Espátula triangular en acero inoxidable, plana de 15 cm a 30 cm</v>
          </cell>
          <cell r="D55" t="str">
            <v>Espátula con hoja de acero inoxidable y mango de 13 cm de polipropileno para un agarre cómodo y fácil mantenimiento, ideal para la nivelación de pasteles y moldes pequeños, así como la herramienta perfecta para templar el chocolate.</v>
          </cell>
        </row>
        <row r="56">
          <cell r="B56">
            <v>48101907</v>
          </cell>
          <cell r="C56" t="str">
            <v xml:space="preserve">Jarra plástica </v>
          </cell>
          <cell r="D56" t="str">
            <v>Redonda, graduada, con tapa, medidas L:21,0 x A: 
15,0x Al: 22,0 (aproximadamente), plástico libre de 
BPA, capacidad de 2L.</v>
          </cell>
        </row>
        <row r="57">
          <cell r="B57">
            <v>48101907</v>
          </cell>
          <cell r="C57" t="str">
            <v xml:space="preserve">Jarra plástica </v>
          </cell>
          <cell r="D57" t="str">
            <v xml:space="preserve">Graduada, con tapa, diámetro 11,3 aproximadamente, 
plástico libre de BPA, capacidad de 1L. </v>
          </cell>
        </row>
        <row r="58">
          <cell r="B58">
            <v>52151604</v>
          </cell>
          <cell r="C58" t="str">
            <v>Escurridor- Colador en malla en acero inoxidable</v>
          </cell>
          <cell r="D58" t="str">
            <v>ESCURRIDORES -COLADOR EN ACERO INOXIDABLE, rígido, colador para  escurrido de pulpa de frutas, redondo, minimo 25 cm de  diámetro.</v>
          </cell>
        </row>
        <row r="59">
          <cell r="B59">
            <v>48101608</v>
          </cell>
          <cell r="C59" t="str">
            <v xml:space="preserve">Licuadora de 
inmersión de 
mano 110 V - 120 
V 500 W, con 
varilla removible 
en acero 
inoxidable </v>
          </cell>
          <cell r="D59" t="str">
            <v>Licuadora de mano de inmersión GE, minimo 500 vatios de alto rendimiento, Vaso medidor de 800 ml, Picador de 500 ml, Accesorio batidor, 3 en 1 con accesorios para mezclar y picar, batir y picar, inmersión de doble velocidad para una fácil operación con una sola mano, acero inoxidable.</v>
          </cell>
        </row>
        <row r="60">
          <cell r="B60">
            <v>52151807</v>
          </cell>
          <cell r="C60" t="str">
            <v>Olla en acero 
inoxidable o ceramica con  tapa. 
Capacidad 
mínima entre 4.5 -5 Litros</v>
          </cell>
          <cell r="D60" t="str">
            <v>Acero inoxidable, Unidad, N.A., Con tapa en acero 
inoxidable,</v>
          </cell>
        </row>
        <row r="61">
          <cell r="B61">
            <v>48102109</v>
          </cell>
          <cell r="C61" t="str">
            <v>Película extensible auto adherente.
Rollo x 300 metros</v>
          </cell>
          <cell r="D61" t="str">
            <v>Película extensible auto adherente plástica, 30 cm de ancho, con sierra metálica, grado alimenticio, material plástico ideal para proteger y evitar rayones, color transparente. Rollo x 300 metros</v>
          </cell>
        </row>
        <row r="62">
          <cell r="B62">
            <v>48101510</v>
          </cell>
          <cell r="C62" t="str">
            <v>Caldero con antiadherente con tapa, de 2 a 2,5 litros ó 24 cm</v>
          </cell>
          <cell r="D62" t="str">
            <v>Caldero en alumnio fundido que realza el sabor de las comidas, tapa que permite ver su contenido, 2 pequeñas orejas para su fácil manipulación, pequeño orificio sobre la tapa que permite la salida del vapor, una base antideslizante y en su interior una base antiadherente. Capacidad de 2 a 2,5 L ó 24 cm</v>
          </cell>
        </row>
        <row r="63">
          <cell r="B63">
            <v>48101510</v>
          </cell>
          <cell r="C63" t="str">
            <v>Caldero con antiadherente con tapa, 3,5 litros ó 32 cm</v>
          </cell>
          <cell r="D63" t="str">
            <v>Caldero en aluminio fundido que realza el sabor de las comidas, tapa que permite ver su contenido, 2 pequeñas orejas para su fácil manipulación, pequeño orificio sobre la tapa que permite la salida del vapor, una base antideslizante y en su interior una base antiadherente. Capacidad 3,5 L. ó 32 cm</v>
          </cell>
        </row>
        <row r="64">
          <cell r="B64">
            <v>48101802</v>
          </cell>
          <cell r="C64" t="str">
            <v>Molde policarbonato Rosas 21 cavidades</v>
          </cell>
          <cell r="D64" t="str">
            <v>Molde policarbonato: Molde de policarbonato para chocolatería, (unidad) material de fabricación en policarbonato transparente, superficie interna lisa, proporciona alta resistencia en su utilizacion, además de aportar mayor brillo a la cobertura de chocolate. Tamaño del molde 27.5 cm largo x 17.5 cm ancho x 2.8 cm alto, 24 cavidades. Tamaño del bombon de 11 - 12 gramos Tamaño cavidad 4.5x 2.5 cm diámetro x 1.2 cm profundidad.</v>
          </cell>
        </row>
        <row r="65">
          <cell r="B65">
            <v>48101800</v>
          </cell>
          <cell r="C65" t="str">
            <v>Molde policarbonato Media Esfera X 24 Cavidades</v>
          </cell>
          <cell r="D65" t="str">
            <v>Molde policarbonato: Molde de policarbonato para chocolatería para tabletas, (unidad) fabricado en policarbonato transparente, proporciona alta resistencia en su utilizacion, además de aportar mayor brillo a la cobertura de chocolate. Tamaño del molde 27.5 cm largo x 17.5 cm ancho x 2.8 cm alto, 3 cavidades de tabletas de 0.5 cm de profundidad. Peso de cada tableta 90 a 100 gramos.</v>
          </cell>
        </row>
        <row r="66">
          <cell r="B66">
            <v>48101802</v>
          </cell>
          <cell r="C66" t="str">
            <v>Tapete de silicona</v>
          </cell>
          <cell r="D66" t="str">
            <v>Tapete de silicona: Tapete de Silicona (Unidad), fabricados en silicona alimentaria, resistentes a la temperatura y pueden entrar en contacto con los alimentos. Tolerancia a temperaturas de hasta 240ºC. Medidas ancho entre 30 y 42 cm y largo entre 60 y 65 cm.</v>
          </cell>
        </row>
        <row r="67">
          <cell r="B67">
            <v>50161511</v>
          </cell>
          <cell r="C67" t="str">
            <v>Cocoa en polvo. 
Bolsa X  230 gramos</v>
          </cell>
          <cell r="D67" t="str">
            <v>Cacao en polvo sin azúcar ni edulcorantes añadidos, libre de impurezas, olor o sabores extraños. Empacado en bolsa impresa, rotulada  y demás requisitos de la resolución 5109 de 2005.</v>
          </cell>
        </row>
        <row r="68">
          <cell r="B68">
            <v>52151506</v>
          </cell>
          <cell r="C68" t="str">
            <v>Contenedor tapa plana, transparente sello plus japon 5 onzas
Paquete x 20 unidades</v>
          </cell>
          <cell r="D68" t="str">
            <v>Contenedor transparente tapa plana sello plus japon 5 onzas (237 ml), para contacto con alimentos. Que los hace completamente herméticos, conservan perfectamente los alimentos porque tienen barrera protectora que no permite el paso del oxígeno ni el vapor de agua, fácil de apilar, resistente al rasgado. paquete por 20 unidades.
Largo: 13 cm
Ancho: 10.5 cm
Alto: 5.0 cm
Capacidad: 5 oz
Color: Cristal</v>
          </cell>
        </row>
        <row r="69">
          <cell r="B69">
            <v>52151506</v>
          </cell>
          <cell r="C69" t="str">
            <v>Contenedor tapa plana, transparente sello plus 8 onzas</v>
          </cell>
          <cell r="D69" t="str">
            <v xml:space="preserve">Contenedor transparente tapa plana sello plus 8 onzas (237 ml), para contacto con alimentos. Que los hace completamente herméticos, conservan perfectamente los alimentos porque tienen barrera protectora que no permite el paso del oxígeno ni el vapor de agua, fácil de apilar, resistente al rasgado. </v>
          </cell>
        </row>
        <row r="70">
          <cell r="B70">
            <v>50161511</v>
          </cell>
          <cell r="C70" t="str">
            <v xml:space="preserve">Chocolate Blanco Real al 36.5% Manteca de Cacao
Presentación de 2.5 Kilos </v>
          </cell>
          <cell r="D70" t="str">
            <v>Chocolate Real Blanco con manteca de cacao al 36,5 %. Presentación Bolsa x 2.5 kg</v>
          </cell>
        </row>
        <row r="71">
          <cell r="B71">
            <v>50161511</v>
          </cell>
          <cell r="C71" t="str">
            <v>Chocolate con leche Real al 37% de cacao.
Presentación Bolsa x 2.5 kg</v>
          </cell>
          <cell r="D71" t="str">
            <v>Chocolate con leche Real con cacao al 37% Presentación Bolsa x 2.5 kg</v>
          </cell>
        </row>
        <row r="72">
          <cell r="B72">
            <v>50161511</v>
          </cell>
          <cell r="C72" t="str">
            <v>Chocolate Real al 70% de cacao .
Presentación Bolsa x 2.5 kg</v>
          </cell>
          <cell r="D72" t="str">
            <v>Chocolate Real semiamargo con cacao al 70%. Presentación Bolsa x 2.5 kg</v>
          </cell>
        </row>
        <row r="73">
          <cell r="B73">
            <v>72152200</v>
          </cell>
          <cell r="C73" t="str">
            <v>Tabla de marmol para alimentos</v>
          </cell>
          <cell r="D73" t="str">
            <v>Piedra cuadrada pulida, dimensiones 60 cm x 60 cm</v>
          </cell>
        </row>
        <row r="74">
          <cell r="B74">
            <v>24112403</v>
          </cell>
          <cell r="C74" t="str">
            <v>Caja de herramientas con ruedas y mango</v>
          </cell>
          <cell r="D74" t="str">
            <v>Tipo Caja de herramientas. Cierre Clip. Material Polipropileno. Características: Cubierta superior con 3 áreas de almacenamiento, Fabricada en polipropileno de alto impacto, Puede colocarse candado, Permite colocar candado, Mango de alta resistencia y para fácil transporte, Modelo ancho para mayor capacidad, Contiene 1 bandeja de plástico, Es liviana y lavable</v>
          </cell>
        </row>
      </sheetData>
      <sheetData sheetId="3"/>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Lote SST (V2)"/>
      <sheetName val="Lote ambiental"/>
      <sheetName val="Lote ambiental (2)"/>
      <sheetName val="Lote EPP (Aprendices y Brig (2)"/>
      <sheetName val="Unidades"/>
      <sheetName val="Análisis estudio de mercado amb"/>
    </sheetNames>
    <sheetDataSet>
      <sheetData sheetId="0"/>
      <sheetData sheetId="1" refreshError="1"/>
      <sheetData sheetId="2" refreshError="1"/>
      <sheetData sheetId="3" refreshError="1"/>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Lote SST"/>
      <sheetName val="Lote SST (V2)"/>
      <sheetName val="Lote EPP (Aprendices y Brig (2)"/>
      <sheetName val="Unidades"/>
      <sheetName val="Análisis estudio de mercado Lot"/>
    </sheetNames>
    <sheetDataSet>
      <sheetData sheetId="0" refreshError="1"/>
      <sheetData sheetId="1" refreshError="1"/>
      <sheetData sheetId="2" refreshError="1"/>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2026"/>
      <sheetName val="Hoja1"/>
      <sheetName val="BIENESTAR"/>
      <sheetName val="Cotizaciones "/>
      <sheetName val="Código UNSPSC"/>
      <sheetName val="Unidades"/>
      <sheetName val="Analisis estudio de mercado_202"/>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tizaciones "/>
      <sheetName val="Hoja2"/>
      <sheetName val="Hoja1"/>
      <sheetName val="Código UNSPSC"/>
      <sheetName val="Unidades"/>
      <sheetName val="Estudio de mercado ST"/>
    </sheetNames>
    <sheetDataSet>
      <sheetData sheetId="0" refreshError="1"/>
      <sheetData sheetId="1" refreshError="1"/>
      <sheetData sheetId="2" refreshError="1"/>
      <sheetData sheetId="3" refreshError="1"/>
      <sheetData sheetId="4"/>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ote Fablab"/>
      <sheetName val="Código UNSPSC"/>
      <sheetName val="Unidades"/>
      <sheetName val="Estudio de mercado FABLAB"/>
    </sheetNames>
    <sheetDataSet>
      <sheetData sheetId="0"/>
      <sheetData sheetId="1" refreshError="1"/>
      <sheetData sheetId="2"/>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Cotizaciones "/>
      <sheetName val="Código UNSPSC"/>
      <sheetName val="Unidades"/>
      <sheetName val="Analisis estudio de mercado_DEP"/>
    </sheetNames>
    <sheetDataSet>
      <sheetData sheetId="0"/>
      <sheetData sheetId="1"/>
      <sheetData sheetId="2"/>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Cotizaciones "/>
      <sheetName val="Código UNSPSC"/>
      <sheetName val="Unidades"/>
      <sheetName val="Análisis Estudio de Mercado - L"/>
    </sheetNames>
    <sheetDataSet>
      <sheetData sheetId="0" refreshError="1"/>
      <sheetData sheetId="1" refreshError="1"/>
      <sheetData sheetId="2"/>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DERA"/>
      <sheetName val="Unidades"/>
      <sheetName val="LOTE MADERA 2026"/>
    </sheetNames>
    <sheetDataSet>
      <sheetData sheetId="0"/>
      <sheetData sheetId="1"/>
      <sheetData sheetId="2" refreshError="1"/>
    </sheetDataSet>
  </externalBook>
</externalLink>
</file>

<file path=xl/richData/_rels/richValueRel.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jpe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08" Type="http://schemas.openxmlformats.org/officeDocument/2006/relationships/image" Target="../media/image108.png"/><Relationship Id="rId124" Type="http://schemas.openxmlformats.org/officeDocument/2006/relationships/image" Target="../media/image124.png"/><Relationship Id="rId129" Type="http://schemas.openxmlformats.org/officeDocument/2006/relationships/image" Target="../media/image129.png"/><Relationship Id="rId54" Type="http://schemas.openxmlformats.org/officeDocument/2006/relationships/image" Target="../media/image54.png"/><Relationship Id="rId70" Type="http://schemas.openxmlformats.org/officeDocument/2006/relationships/image" Target="../media/image70.png"/><Relationship Id="rId75" Type="http://schemas.openxmlformats.org/officeDocument/2006/relationships/image" Target="../media/image75.png"/><Relationship Id="rId91" Type="http://schemas.openxmlformats.org/officeDocument/2006/relationships/image" Target="../media/image91.png"/><Relationship Id="rId96" Type="http://schemas.openxmlformats.org/officeDocument/2006/relationships/image" Target="../media/image96.png"/><Relationship Id="rId140" Type="http://schemas.openxmlformats.org/officeDocument/2006/relationships/image" Target="../media/image140.png"/><Relationship Id="rId145" Type="http://schemas.openxmlformats.org/officeDocument/2006/relationships/image" Target="../media/image145.png"/><Relationship Id="rId161" Type="http://schemas.openxmlformats.org/officeDocument/2006/relationships/image" Target="../media/image161.png"/><Relationship Id="rId1" Type="http://schemas.openxmlformats.org/officeDocument/2006/relationships/image" Target="../media/image1.png"/><Relationship Id="rId6" Type="http://schemas.openxmlformats.org/officeDocument/2006/relationships/image" Target="../media/image6.png"/><Relationship Id="rId23" Type="http://schemas.openxmlformats.org/officeDocument/2006/relationships/image" Target="../media/image23.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119" Type="http://schemas.openxmlformats.org/officeDocument/2006/relationships/image" Target="../media/image119.png"/><Relationship Id="rId44" Type="http://schemas.openxmlformats.org/officeDocument/2006/relationships/image" Target="../media/image44.png"/><Relationship Id="rId60" Type="http://schemas.openxmlformats.org/officeDocument/2006/relationships/image" Target="../media/image60.png"/><Relationship Id="rId65" Type="http://schemas.openxmlformats.org/officeDocument/2006/relationships/image" Target="../media/image65.png"/><Relationship Id="rId81" Type="http://schemas.openxmlformats.org/officeDocument/2006/relationships/image" Target="../media/image81.png"/><Relationship Id="rId86" Type="http://schemas.openxmlformats.org/officeDocument/2006/relationships/image" Target="../media/image86.png"/><Relationship Id="rId130" Type="http://schemas.openxmlformats.org/officeDocument/2006/relationships/image" Target="../media/image130.png"/><Relationship Id="rId135" Type="http://schemas.openxmlformats.org/officeDocument/2006/relationships/image" Target="../media/image135.png"/><Relationship Id="rId151" Type="http://schemas.openxmlformats.org/officeDocument/2006/relationships/image" Target="../media/image151.jpeg"/><Relationship Id="rId156" Type="http://schemas.openxmlformats.org/officeDocument/2006/relationships/image" Target="../media/image156.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109" Type="http://schemas.openxmlformats.org/officeDocument/2006/relationships/image" Target="../media/image10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04" Type="http://schemas.openxmlformats.org/officeDocument/2006/relationships/image" Target="../media/image104.png"/><Relationship Id="rId120" Type="http://schemas.openxmlformats.org/officeDocument/2006/relationships/image" Target="../media/image120.png"/><Relationship Id="rId125" Type="http://schemas.openxmlformats.org/officeDocument/2006/relationships/image" Target="../media/image125.png"/><Relationship Id="rId141" Type="http://schemas.openxmlformats.org/officeDocument/2006/relationships/image" Target="../media/image141.jpeg"/><Relationship Id="rId146" Type="http://schemas.openxmlformats.org/officeDocument/2006/relationships/image" Target="../media/image146.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15" Type="http://schemas.openxmlformats.org/officeDocument/2006/relationships/image" Target="../media/image115.png"/><Relationship Id="rId131" Type="http://schemas.openxmlformats.org/officeDocument/2006/relationships/image" Target="../media/image131.png"/><Relationship Id="rId136" Type="http://schemas.openxmlformats.org/officeDocument/2006/relationships/image" Target="../media/image136.png"/><Relationship Id="rId157" Type="http://schemas.openxmlformats.org/officeDocument/2006/relationships/image" Target="../media/image157.png"/><Relationship Id="rId61" Type="http://schemas.openxmlformats.org/officeDocument/2006/relationships/image" Target="../media/image61.png"/><Relationship Id="rId82" Type="http://schemas.openxmlformats.org/officeDocument/2006/relationships/image" Target="../media/image82.png"/><Relationship Id="rId152" Type="http://schemas.openxmlformats.org/officeDocument/2006/relationships/image" Target="../media/image152.jpe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4" Type="http://schemas.openxmlformats.org/officeDocument/2006/relationships/image" Target="../media/image4.png"/><Relationship Id="rId9" Type="http://schemas.openxmlformats.org/officeDocument/2006/relationships/image" Target="../media/image9.png"/><Relationship Id="rId26" Type="http://schemas.openxmlformats.org/officeDocument/2006/relationships/image" Target="../media/image26.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6" Type="http://schemas.openxmlformats.org/officeDocument/2006/relationships/image" Target="../media/image16.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61">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0">
    <v>38</v>
    <v>5</v>
  </rv>
  <rv s="0">
    <v>39</v>
    <v>5</v>
  </rv>
  <rv s="0">
    <v>40</v>
    <v>5</v>
  </rv>
  <rv s="0">
    <v>41</v>
    <v>5</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 s="0">
    <v>59</v>
    <v>5</v>
  </rv>
  <rv s="0">
    <v>60</v>
    <v>5</v>
  </rv>
  <rv s="0">
    <v>61</v>
    <v>5</v>
  </rv>
  <rv s="0">
    <v>62</v>
    <v>5</v>
  </rv>
  <rv s="0">
    <v>63</v>
    <v>5</v>
  </rv>
  <rv s="0">
    <v>64</v>
    <v>5</v>
  </rv>
  <rv s="0">
    <v>65</v>
    <v>5</v>
  </rv>
  <rv s="0">
    <v>66</v>
    <v>5</v>
  </rv>
  <rv s="0">
    <v>67</v>
    <v>5</v>
  </rv>
  <rv s="0">
    <v>68</v>
    <v>5</v>
  </rv>
  <rv s="0">
    <v>69</v>
    <v>5</v>
  </rv>
  <rv s="0">
    <v>70</v>
    <v>5</v>
  </rv>
  <rv s="0">
    <v>71</v>
    <v>5</v>
  </rv>
  <rv s="0">
    <v>72</v>
    <v>5</v>
  </rv>
  <rv s="0">
    <v>73</v>
    <v>5</v>
  </rv>
  <rv s="0">
    <v>74</v>
    <v>5</v>
  </rv>
  <rv s="0">
    <v>75</v>
    <v>5</v>
  </rv>
  <rv s="0">
    <v>76</v>
    <v>5</v>
  </rv>
  <rv s="0">
    <v>77</v>
    <v>5</v>
  </rv>
  <rv s="0">
    <v>78</v>
    <v>5</v>
  </rv>
  <rv s="0">
    <v>79</v>
    <v>5</v>
  </rv>
  <rv s="0">
    <v>80</v>
    <v>5</v>
  </rv>
  <rv s="0">
    <v>81</v>
    <v>5</v>
  </rv>
  <rv s="0">
    <v>82</v>
    <v>5</v>
  </rv>
  <rv s="0">
    <v>83</v>
    <v>5</v>
  </rv>
  <rv s="0">
    <v>84</v>
    <v>5</v>
  </rv>
  <rv s="0">
    <v>85</v>
    <v>5</v>
  </rv>
  <rv s="0">
    <v>86</v>
    <v>5</v>
  </rv>
  <rv s="0">
    <v>87</v>
    <v>5</v>
  </rv>
  <rv s="0">
    <v>88</v>
    <v>5</v>
  </rv>
  <rv s="0">
    <v>89</v>
    <v>5</v>
  </rv>
  <rv s="0">
    <v>90</v>
    <v>5</v>
  </rv>
  <rv s="0">
    <v>91</v>
    <v>5</v>
  </rv>
  <rv s="0">
    <v>92</v>
    <v>5</v>
  </rv>
  <rv s="0">
    <v>93</v>
    <v>5</v>
  </rv>
  <rv s="0">
    <v>94</v>
    <v>5</v>
  </rv>
  <rv s="0">
    <v>95</v>
    <v>5</v>
  </rv>
  <rv s="0">
    <v>96</v>
    <v>5</v>
  </rv>
  <rv s="0">
    <v>97</v>
    <v>5</v>
  </rv>
  <rv s="0">
    <v>98</v>
    <v>5</v>
  </rv>
  <rv s="0">
    <v>99</v>
    <v>5</v>
  </rv>
  <rv s="0">
    <v>100</v>
    <v>5</v>
  </rv>
  <rv s="0">
    <v>101</v>
    <v>5</v>
  </rv>
  <rv s="0">
    <v>102</v>
    <v>5</v>
  </rv>
  <rv s="0">
    <v>103</v>
    <v>5</v>
  </rv>
  <rv s="0">
    <v>104</v>
    <v>5</v>
  </rv>
  <rv s="0">
    <v>105</v>
    <v>5</v>
  </rv>
  <rv s="0">
    <v>106</v>
    <v>5</v>
  </rv>
  <rv s="0">
    <v>107</v>
    <v>5</v>
  </rv>
  <rv s="0">
    <v>108</v>
    <v>5</v>
  </rv>
  <rv s="0">
    <v>109</v>
    <v>5</v>
  </rv>
  <rv s="0">
    <v>110</v>
    <v>5</v>
  </rv>
  <rv s="0">
    <v>111</v>
    <v>5</v>
  </rv>
  <rv s="0">
    <v>112</v>
    <v>5</v>
  </rv>
  <rv s="0">
    <v>113</v>
    <v>5</v>
  </rv>
  <rv s="0">
    <v>114</v>
    <v>5</v>
  </rv>
  <rv s="0">
    <v>115</v>
    <v>5</v>
  </rv>
  <rv s="0">
    <v>116</v>
    <v>5</v>
  </rv>
  <rv s="0">
    <v>117</v>
    <v>5</v>
  </rv>
  <rv s="0">
    <v>118</v>
    <v>5</v>
  </rv>
  <rv s="0">
    <v>119</v>
    <v>5</v>
  </rv>
  <rv s="0">
    <v>120</v>
    <v>5</v>
  </rv>
  <rv s="0">
    <v>121</v>
    <v>5</v>
  </rv>
  <rv s="0">
    <v>122</v>
    <v>5</v>
  </rv>
  <rv s="0">
    <v>123</v>
    <v>5</v>
  </rv>
  <rv s="0">
    <v>124</v>
    <v>5</v>
  </rv>
  <rv s="0">
    <v>125</v>
    <v>5</v>
  </rv>
  <rv s="0">
    <v>126</v>
    <v>5</v>
  </rv>
  <rv s="0">
    <v>127</v>
    <v>5</v>
  </rv>
  <rv s="0">
    <v>128</v>
    <v>5</v>
  </rv>
  <rv s="0">
    <v>129</v>
    <v>5</v>
  </rv>
  <rv s="0">
    <v>130</v>
    <v>5</v>
  </rv>
  <rv s="0">
    <v>131</v>
    <v>5</v>
  </rv>
  <rv s="0">
    <v>132</v>
    <v>5</v>
  </rv>
  <rv s="0">
    <v>133</v>
    <v>5</v>
  </rv>
  <rv s="0">
    <v>134</v>
    <v>5</v>
  </rv>
  <rv s="0">
    <v>135</v>
    <v>5</v>
  </rv>
  <rv s="0">
    <v>136</v>
    <v>5</v>
  </rv>
  <rv s="0">
    <v>137</v>
    <v>5</v>
  </rv>
  <rv s="0">
    <v>138</v>
    <v>5</v>
  </rv>
  <rv s="0">
    <v>139</v>
    <v>5</v>
  </rv>
  <rv s="0">
    <v>140</v>
    <v>5</v>
  </rv>
  <rv s="0">
    <v>141</v>
    <v>5</v>
  </rv>
  <rv s="0">
    <v>142</v>
    <v>5</v>
  </rv>
  <rv s="0">
    <v>143</v>
    <v>5</v>
  </rv>
  <rv s="0">
    <v>144</v>
    <v>5</v>
  </rv>
  <rv s="0">
    <v>145</v>
    <v>5</v>
  </rv>
  <rv s="0">
    <v>146</v>
    <v>5</v>
  </rv>
  <rv s="0">
    <v>147</v>
    <v>5</v>
  </rv>
  <rv s="0">
    <v>148</v>
    <v>5</v>
  </rv>
  <rv s="0">
    <v>149</v>
    <v>5</v>
  </rv>
  <rv s="0">
    <v>150</v>
    <v>5</v>
  </rv>
  <rv s="0">
    <v>151</v>
    <v>5</v>
  </rv>
  <rv s="0">
    <v>152</v>
    <v>5</v>
  </rv>
  <rv s="0">
    <v>153</v>
    <v>5</v>
  </rv>
  <rv s="0">
    <v>154</v>
    <v>5</v>
  </rv>
  <rv s="0">
    <v>155</v>
    <v>5</v>
  </rv>
  <rv s="0">
    <v>156</v>
    <v>5</v>
  </rv>
  <rv s="0">
    <v>157</v>
    <v>5</v>
  </rv>
  <rv s="0">
    <v>158</v>
    <v>5</v>
  </rv>
  <rv s="0">
    <v>159</v>
    <v>5</v>
  </rv>
  <rv s="0">
    <v>160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el r:id="rId69"/>
  <rel r:id="rId70"/>
  <rel r:id="rId71"/>
  <rel r:id="rId72"/>
  <rel r:id="rId73"/>
  <rel r:id="rId74"/>
  <rel r:id="rId75"/>
  <rel r:id="rId76"/>
  <rel r:id="rId77"/>
  <rel r:id="rId78"/>
  <rel r:id="rId79"/>
  <rel r:id="rId80"/>
  <rel r:id="rId81"/>
  <rel r:id="rId82"/>
  <rel r:id="rId83"/>
  <rel r:id="rId84"/>
  <rel r:id="rId85"/>
  <rel r:id="rId86"/>
  <rel r:id="rId87"/>
  <rel r:id="rId88"/>
  <rel r:id="rId89"/>
  <rel r:id="rId90"/>
  <rel r:id="rId91"/>
  <rel r:id="rId92"/>
  <rel r:id="rId93"/>
  <rel r:id="rId94"/>
  <rel r:id="rId95"/>
  <rel r:id="rId96"/>
  <rel r:id="rId97"/>
  <rel r:id="rId98"/>
  <rel r:id="rId99"/>
  <rel r:id="rId100"/>
  <rel r:id="rId101"/>
  <rel r:id="rId102"/>
  <rel r:id="rId103"/>
  <rel r:id="rId104"/>
  <rel r:id="rId105"/>
  <rel r:id="rId106"/>
  <rel r:id="rId107"/>
  <rel r:id="rId108"/>
  <rel r:id="rId109"/>
  <rel r:id="rId110"/>
  <rel r:id="rId111"/>
  <rel r:id="rId112"/>
  <rel r:id="rId113"/>
  <rel r:id="rId114"/>
  <rel r:id="rId115"/>
  <rel r:id="rId116"/>
  <rel r:id="rId117"/>
  <rel r:id="rId118"/>
  <rel r:id="rId119"/>
  <rel r:id="rId120"/>
  <rel r:id="rId121"/>
  <rel r:id="rId122"/>
  <rel r:id="rId123"/>
  <rel r:id="rId124"/>
  <rel r:id="rId125"/>
  <rel r:id="rId126"/>
  <rel r:id="rId127"/>
  <rel r:id="rId128"/>
  <rel r:id="rId129"/>
  <rel r:id="rId130"/>
  <rel r:id="rId131"/>
  <rel r:id="rId132"/>
  <rel r:id="rId133"/>
  <rel r:id="rId134"/>
  <rel r:id="rId135"/>
  <rel r:id="rId136"/>
  <rel r:id="rId137"/>
  <rel r:id="rId138"/>
  <rel r:id="rId139"/>
  <rel r:id="rId140"/>
  <rel r:id="rId141"/>
  <rel r:id="rId142"/>
  <rel r:id="rId143"/>
  <rel r:id="rId144"/>
  <rel r:id="rId145"/>
  <rel r:id="rId146"/>
  <rel r:id="rId147"/>
  <rel r:id="rId148"/>
  <rel r:id="rId149"/>
  <rel r:id="rId150"/>
  <rel r:id="rId151"/>
  <rel r:id="rId152"/>
  <rel r:id="rId153"/>
  <rel r:id="rId154"/>
  <rel r:id="rId155"/>
  <rel r:id="rId156"/>
  <rel r:id="rId157"/>
  <rel r:id="rId158"/>
  <rel r:id="rId159"/>
  <rel r:id="rId160"/>
  <rel r:id="rId16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hyperlink" Target="https://www.tierragro.com/products/sustrato-de-coco-chip-x-6-lt-palpmino-tierragro?srsltid=AfmBOootnWzPnncGcPep5XvkWpesL2qT4LZq_KuDq__4VYFOOEteXk3x" TargetMode="External"/><Relationship Id="rId13" Type="http://schemas.openxmlformats.org/officeDocument/2006/relationships/hyperlink" Target="https://www.mercadolibre.com.co/fumigadora-manual-20-litros-royal-condor-la-activa-color-blanco/p/MCO22722399" TargetMode="External"/><Relationship Id="rId18" Type="http://schemas.openxmlformats.org/officeDocument/2006/relationships/hyperlink" Target="https://tumatera.co/products/kit-mini-jardin-herramientas-jardineria-x-3-unidades?srsltid=AfmBOorlin-2lXR2JXb4gzlOuTqxy-w3pOeac7BjEpacPhBlP7mXGcNh" TargetMode="External"/><Relationship Id="rId3" Type="http://schemas.openxmlformats.org/officeDocument/2006/relationships/hyperlink" Target="https://www.casaferretera.com/malla_plast-super-1mt_12x12mm_negrarollo_x_30_mts/p?srsltid=AfmBOor9lg4PmpaOzQFoC65w0NfC6ZnBqpHUvh87QslUuD7Z_uC1oKIx" TargetMode="External"/><Relationship Id="rId21" Type="http://schemas.openxmlformats.org/officeDocument/2006/relationships/comments" Target="../comments2.xml"/><Relationship Id="rId7" Type="http://schemas.openxmlformats.org/officeDocument/2006/relationships/hyperlink" Target="https://www.viverosa.com.co/maceta-plastica-rectangular-de-45cms-largo-plato?srsltid=AfmBOoq7WISm9G8Yka0R-znGUDnPiNe1qANY65KA5jWTHfacXkuAXE9z&amp;variant_id=88747487" TargetMode="External"/><Relationship Id="rId12" Type="http://schemas.openxmlformats.org/officeDocument/2006/relationships/hyperlink" Target="https://www.mercadolibre.com.co/jardinera-tipo-jaula-de-cama-de-jardin-elevada-con-enrejado/p/MCO2057100620?matt_tool=19390127&amp;utm_source=google_shopping&amp;utm_medium=organic&amp;pdp_filters=item_id%3AMCO3434677170&amp;from=gshop" TargetMode="External"/><Relationship Id="rId17" Type="http://schemas.openxmlformats.org/officeDocument/2006/relationships/hyperlink" Target="https://www.mercadolibre.com.co/bolsas-con-cierre-hermetico-transparente-100-uds-8x10cm/up/MCOU2420080571" TargetMode="External"/><Relationship Id="rId2" Type="http://schemas.openxmlformats.org/officeDocument/2006/relationships/hyperlink" Target="https://shiva.com.co/tienda/semillas-y-harinas/semilla-de-cilantro-patimorada-100-natural/" TargetMode="External"/><Relationship Id="rId16" Type="http://schemas.openxmlformats.org/officeDocument/2006/relationships/hyperlink" Target="https://www.soemex.com/100-mini-bolsas-plastico-transparente-ziploc-multiuso-4x6-cm-1?utm_source=js-google-shopping-app&amp;utm_medium=js-google-shopping-app&amp;variant_id=31950192&amp;srsltid=AfmBOooV6EMgSbp6Thfc2vhYIDs3glpfUL2ctBkE-Hb9wa8-n-a-JO2_Epc" TargetMode="External"/><Relationship Id="rId20" Type="http://schemas.openxmlformats.org/officeDocument/2006/relationships/vmlDrawing" Target="../drawings/vmlDrawing2.vml"/><Relationship Id="rId1" Type="http://schemas.openxmlformats.org/officeDocument/2006/relationships/hyperlink" Target="https://elmolinoverde.com/productos/semilla-de-cilantro-natural/" TargetMode="External"/><Relationship Id="rId6" Type="http://schemas.openxmlformats.org/officeDocument/2006/relationships/hyperlink" Target="https://fercon.com.co/categoria-producto/materas/ecomateras/" TargetMode="External"/><Relationship Id="rId11" Type="http://schemas.openxmlformats.org/officeDocument/2006/relationships/hyperlink" Target="https://sembramos.com.co/sustrato-de-perlita.html/?srsltid=AfmBOooJLfCzyFf46Ej_7wgZYvwE1SqFOzHsXOvLgmBojGPnfSYrmCHW" TargetMode="External"/><Relationship Id="rId5" Type="http://schemas.openxmlformats.org/officeDocument/2006/relationships/hyperlink" Target="https://tumatera.co/collections/jardineras/products/jardinera-mayorista-mpk-703535a?variant=5161891954720" TargetMode="External"/><Relationship Id="rId15" Type="http://schemas.openxmlformats.org/officeDocument/2006/relationships/hyperlink" Target="https://www.mercadolibre.com.co/kit-12-suculentas-variedades-comunes-recordatorios/up/MCOU2410168066" TargetMode="External"/><Relationship Id="rId10" Type="http://schemas.openxmlformats.org/officeDocument/2006/relationships/hyperlink" Target="https://sembramos.com.co/sustrato-vermiculita.html/?srsltid=AfmBOory-0_gptKiS76aFgLPgr2O8cOVuMR0hocKUvRvkr2nY2ntPrZR" TargetMode="External"/><Relationship Id="rId19" Type="http://schemas.openxmlformats.org/officeDocument/2006/relationships/hyperlink" Target="https://www.homecenter.com.co/homecenter-co/product/158144/bolsa-para-vivero-15x20cm-100-unidades/158144/?kid=dis_adi_1435635&amp;gad_source=1&amp;gad_campaignid=23611073922&amp;gbraid=0AAAAADt6wnoK_kLUKP8Z31VMPGE4XbSuP&amp;gclid=EAIaIQobChMIs4nj_YzdkwMV_K5aBR147xRrEAQYASABEgLJU_D_BwE" TargetMode="External"/><Relationship Id="rId4" Type="http://schemas.openxmlformats.org/officeDocument/2006/relationships/hyperlink" Target="https://www.homecenter.com.co/homecenter-co/product/339234/jardinera-polietileno-roja-70-x-30-x-33-cm/339234/" TargetMode="External"/><Relationship Id="rId9" Type="http://schemas.openxmlformats.org/officeDocument/2006/relationships/hyperlink" Target="https://www.viverosa.com.co/canasta-de-colgar-para-plantas-nido-de-coco-x20-cm-diametro?variant_id=88784656" TargetMode="External"/><Relationship Id="rId14" Type="http://schemas.openxmlformats.org/officeDocument/2006/relationships/hyperlink" Target="https://sembramos.com.co/venta-de-plantas-de-interior/plantulas.html/?srsltid=AfmBOopPawFOfwGFFqZ5uDDba7TikHLDThkWOtUQwJGGINfe4Uco2209"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publicitar.com.co/tienda/variedades/alcancias/alcancia-mini-piggy/?srsltid=AfmBOorJPc0yLb6a-n1rWnCUOIWGcIPmtp5QYyp2QYy-rXTmqE3F1m-f" TargetMode="External"/><Relationship Id="rId13" Type="http://schemas.openxmlformats.org/officeDocument/2006/relationships/hyperlink" Target="https://em2c.com.co/producto/llavero-mini-flexometro-de-bolsillo/" TargetMode="External"/><Relationship Id="rId3" Type="http://schemas.openxmlformats.org/officeDocument/2006/relationships/hyperlink" Target="https://community.secop.gov.co/Public/Tendering/OpportunityDetail/Index?noticeUID=CO1.NTC.8172419&amp;isFromPublicArea=True&amp;isModal=False" TargetMode="External"/><Relationship Id="rId7" Type="http://schemas.openxmlformats.org/officeDocument/2006/relationships/hyperlink" Target="https://publicitar.com.co/tienda/antiestres/antiestres-antiestres/antiestres-planeta-tierra/?srsltid=AfmBOooyu4MV8WRqZP54GFvI7miQzLODedjc0zUtiiwlTxEB8LNvhhNz" TargetMode="External"/><Relationship Id="rId12" Type="http://schemas.openxmlformats.org/officeDocument/2006/relationships/hyperlink" Target="https://publicitar.com.co/tienda/herramientas/metros/llavero-mini-flexometro-de-bolsillo/" TargetMode="External"/><Relationship Id="rId2" Type="http://schemas.openxmlformats.org/officeDocument/2006/relationships/hyperlink" Target="https://dondotacion.com/rodilleras-profesionales-para-trabajo-industrial/%0a%0aValor%20web%20+%20IVA%2019%25+%20Flete%20estimado%20de%2010000%20+5%20margen%20de%20actualizaci&#243;n" TargetMode="External"/><Relationship Id="rId16" Type="http://schemas.openxmlformats.org/officeDocument/2006/relationships/comments" Target="../comments3.xml"/><Relationship Id="rId1" Type="http://schemas.openxmlformats.org/officeDocument/2006/relationships/hyperlink" Target="https://www.ferresol.co/product-page/rodilleras-industriales-knee-pro" TargetMode="External"/><Relationship Id="rId6" Type="http://schemas.openxmlformats.org/officeDocument/2006/relationships/hyperlink" Target="https://markados.com.co/antiestres/" TargetMode="External"/><Relationship Id="rId11" Type="http://schemas.openxmlformats.org/officeDocument/2006/relationships/hyperlink" Target="https://publicitar.com.co/tienda/salud-y-belleza/pastilleros/vaso-plegable-eco/?srsltid=AfmBOorzkbjdwb6sp-R8Rg7zFqO0DV7a5x9jHzFj1rcMgHjs3W_abJwn" TargetMode="External"/><Relationship Id="rId5" Type="http://schemas.openxmlformats.org/officeDocument/2006/relationships/hyperlink" Target="https://community.secop.gov.co/Public/Tendering/OpportunityDetail/Index?noticeUID=CO1.NTC.8172419&amp;isFromPublicArea=True&amp;isModal=False" TargetMode="External"/><Relationship Id="rId15" Type="http://schemas.openxmlformats.org/officeDocument/2006/relationships/vmlDrawing" Target="../drawings/vmlDrawing3.vml"/><Relationship Id="rId10" Type="http://schemas.openxmlformats.org/officeDocument/2006/relationships/hyperlink" Target="https://markados.com.co/vaso-plegable-eco/" TargetMode="External"/><Relationship Id="rId4" Type="http://schemas.openxmlformats.org/officeDocument/2006/relationships/hyperlink" Target="https://community.secop.gov.co/Public/Tendering/OpportunityDetail/Index?noticeUID=CO1.NTC.8172419&amp;isFromPublicArea=True&amp;isModal=False" TargetMode="External"/><Relationship Id="rId9" Type="http://schemas.openxmlformats.org/officeDocument/2006/relationships/hyperlink" Target="https://markados.com.co/alcancia-mini-piggy/" TargetMode="External"/><Relationship Id="rId14"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17" Type="http://schemas.openxmlformats.org/officeDocument/2006/relationships/hyperlink" Target="https://www.amazon.com/-/es/Fotorama-Magnetic-adivinanzas-oscuridad-misteriosas/dp/B00PPWLGI8/ref=sr_1_2?adgrpid=161745943670&amp;dib=eyJ2IjoiMSJ9.kDe-HN0MpekFulGXTI2NWUE8Fmram1pyyW0XSNXD3rRMPlH8kjpl2vRQY7fpIWsVZVnsuCTO0pIIsO_HcoEWCYTKYZ1RSMPxEMZUReYKKhccWoF0rl2ZxpesKoOHLMJETfwcM3PYk4MjqZN0SPlzswGXkuz4D7ZW8_o_N2mGPC_pE30E3ILUNI8fVvr6TcnmUX1cJPIhhNFemk0A3Jo2Ca5OAZtjPB4D4T8ETMSFb0zw6bc6xqDiO771fVS3u22vVr8yRoomvHiTv8RTky_Kaxb3RFKrMA114xdcNddurSM.4UFS-qu6ij3gRHTJotu4SFguJgpHD_SJ0Q7NpT34WXY&amp;dib_tag=se&amp;hvadid=688078581490&amp;hvdev=c&amp;hvlocphy=9198551&amp;hvnetw=g&amp;hvqmt=e&amp;hvrand=4141326226966963449&amp;hvtargid=kwd-590020736314&amp;hydadcr=3143_13709411&amp;keywords=juego+ahorcado+magnetico&amp;mcid=0a4a4daa1ec13c2da6ba076a214ff613&amp;qid=1774464190&amp;sr=8-2" TargetMode="External"/><Relationship Id="rId21" Type="http://schemas.openxmlformats.org/officeDocument/2006/relationships/hyperlink" Target="https://www.papeleriamodelo.com/producto/block-cuadriculado/" TargetMode="External"/><Relationship Id="rId42" Type="http://schemas.openxmlformats.org/officeDocument/2006/relationships/hyperlink" Target="https://articulo.mercadolibre.com.co/MCO-2321644060-cartuchera-universitaria-unicolor-_JM?searchVariation=182448785737" TargetMode="External"/><Relationship Id="rId63" Type="http://schemas.openxmlformats.org/officeDocument/2006/relationships/hyperlink" Target="https://www.mercadolibre.com.co/juego-de-mesa-crazy-alphabet-stamping/p/MCO2056624855" TargetMode="External"/><Relationship Id="rId84" Type="http://schemas.openxmlformats.org/officeDocument/2006/relationships/hyperlink" Target="https://panafargo.com/producto/gancho-lotero-doble-clip-o-aprieta-papel-en-varios-tamanos/?srsltid=AfmBOoqn0F9_HYx4QVPZvebriqX6iB83uL1bH3owx7PI8kkJHhy7QXUO" TargetMode="External"/><Relationship Id="rId138" Type="http://schemas.openxmlformats.org/officeDocument/2006/relationships/hyperlink" Target="https://publicitar.com.co/tienda/agendas-y-libretas/libretas/libreta-ejecutiva/?srsltid=AfmBOopeNXLwg7uy9KC0keT0Qu_8ioNDWsx67K-Z1q4_eu07XY38IChm" TargetMode="External"/><Relationship Id="rId159" Type="http://schemas.openxmlformats.org/officeDocument/2006/relationships/hyperlink" Target="https://www.falabella.com.co/falabella-co/product/136133309/Pelicula-Vidrio-Ventanas-75cm-x-5mts-Privacidad-Vinilo-sticker/136133310" TargetMode="External"/><Relationship Id="rId170" Type="http://schemas.openxmlformats.org/officeDocument/2006/relationships/hyperlink" Target="https://www.mercadolibre.com.co/marcador-permanente-colores-surtidos-caja-x-12-marcadores/up/MCOU2658636450" TargetMode="External"/><Relationship Id="rId191" Type="http://schemas.openxmlformats.org/officeDocument/2006/relationships/hyperlink" Target="https://www.papyser.com/tienda/producto/rollo-papel-kraft-60-g-24x11-kg-301-mt?srsltid=AfmBOorfoiq9T5TF903FVxdfZ0a_Uyt2qxhMk8Z_DY8_gYuZMcTND85a" TargetMode="External"/><Relationship Id="rId205" Type="http://schemas.openxmlformats.org/officeDocument/2006/relationships/hyperlink" Target="https://www.mercadolibre.com.co/kit-6-pinturas-acrilicas-franco-arte-60cc/p/MCO43843265" TargetMode="External"/><Relationship Id="rId226" Type="http://schemas.openxmlformats.org/officeDocument/2006/relationships/printerSettings" Target="../printerSettings/printerSettings3.bin"/><Relationship Id="rId107" Type="http://schemas.openxmlformats.org/officeDocument/2006/relationships/hyperlink" Target="https://www.olimpica.com/juego-palabreria/p" TargetMode="External"/><Relationship Id="rId11" Type="http://schemas.openxmlformats.org/officeDocument/2006/relationships/hyperlink" Target="https://andima.com.co/producto/banda-de-caucho-bolsa-x-1000-gr/" TargetMode="External"/><Relationship Id="rId32" Type="http://schemas.openxmlformats.org/officeDocument/2006/relationships/hyperlink" Target="https://todoenartes.com/products/colores-x48-prismacolor" TargetMode="External"/><Relationship Id="rId53" Type="http://schemas.openxmlformats.org/officeDocument/2006/relationships/hyperlink" Target="https://www.papyser.com/tienda/producto/cinta-rotuladora-papel-blanca-x-2-dymo-para-letratag?srsltid=AfmBOor9ePtqFiQV7wzgF55fx0jweV2pLO-mWlgYCsGLR_ymHLSHsoTw" TargetMode="External"/><Relationship Id="rId74" Type="http://schemas.openxmlformats.org/officeDocument/2006/relationships/hyperlink" Target="https://orlave.com/products/dado-infantil-30-x-30-cm?variant=34858017620127" TargetMode="External"/><Relationship Id="rId128" Type="http://schemas.openxmlformats.org/officeDocument/2006/relationships/hyperlink" Target="https://garabatospapeleria.com/productos/caja-x-12-boligrafos-semi-gel-0-7-oe-052f-rt-offi-esco-g1c5d/?variant=1303646356&amp;pf=mc&amp;srsltid=AfmBOopb_WX6j5oUENtSfMUHxmD_FWhfwNDlhydTRDz1jAtVFIMD8LUO95I" TargetMode="External"/><Relationship Id="rId149" Type="http://schemas.openxmlformats.org/officeDocument/2006/relationships/hyperlink" Target="https://www.exito.com/cronometro-digital-resistente-al-agua-deportes-cocina-correa-101970063-mp/p" TargetMode="External"/><Relationship Id="rId5" Type="http://schemas.openxmlformats.org/officeDocument/2006/relationships/hyperlink" Target="https://www.eaosd-tienda.com/caja-de-alfileres-de-cabeza-redonda-grandes" TargetMode="External"/><Relationship Id="rId95" Type="http://schemas.openxmlformats.org/officeDocument/2006/relationships/hyperlink" Target="https://www.mercadolibre.com.co/juguetes-para-enhebrar-cuerda-juego-de-enhebrado/p/MCO2022883780?matt_tool=19390127&amp;utm_source=google_shopping&amp;utm_medium=organic&amp;pdp_filters=item_id%3AMCO3352384770&amp;from=gshop" TargetMode="External"/><Relationship Id="rId160" Type="http://schemas.openxmlformats.org/officeDocument/2006/relationships/hyperlink" Target="https://www.mercadolibre.com.co/tiza-en-lapiz-colores-x12-unidades-modisteria-marcar-tela/up/MCOU2437952374?pdp_filters=item_id:MCO942235323" TargetMode="External"/><Relationship Id="rId181" Type="http://schemas.openxmlformats.org/officeDocument/2006/relationships/hyperlink" Target="https://www.jugueteriatristras.es/juegos-mesa/32853-juego-cartas-operacion-dinamita-8436598030471.html?srsltid=AfmBOortVdaILUTJKiGeFiyEDr_GNaii6HJAVTJ-UoxJUt6QzpgBzD6A" TargetMode="External"/><Relationship Id="rId216" Type="http://schemas.openxmlformats.org/officeDocument/2006/relationships/hyperlink" Target="https://www.mercadolibre.com.co/rotulo-adhesivo-redondo-rojo-13-cm-x-308-pcs/up/MCOU2436328836" TargetMode="External"/><Relationship Id="rId22" Type="http://schemas.openxmlformats.org/officeDocument/2006/relationships/hyperlink" Target="https://www.carulla.com/est-10-boligrafos-sly-colores-362770/p" TargetMode="External"/><Relationship Id="rId43" Type="http://schemas.openxmlformats.org/officeDocument/2006/relationships/hyperlink" Target="https://elchiquitindelospreciosbajos.com/product/cartuchera-unicolor-primavera-p-bags-ref-1454_019-5/" TargetMode="External"/><Relationship Id="rId64" Type="http://schemas.openxmlformats.org/officeDocument/2006/relationships/hyperlink" Target="https://es.aliexpress.com/item/1005010385521131.html?src=google&amp;pdp_npi=4%40dis!COP!39610.56!38764.87!!!!!%40!12000052228890876!ppc!!!&amp;src=google&amp;albch=shopping&amp;acnt=971-003-6642&amp;isdl=y&amp;slnk=&amp;plac=&amp;mtctp=&amp;albbt=Google_7_shopping&amp;aff_platform=google&amp;aff_short_key=UneMJZVf&amp;gclsrc=aw.ds&amp;&amp;albagn=888888&amp;&amp;ds_e_adid=793125220793&amp;ds_e_matchtype=search&amp;ds_e_device=c&amp;ds_e_network=g&amp;ds_e_product_group_id=293946777986&amp;ds_e_product_id=es1005010385521131&amp;ds_e_product_merchant_id=5520179106&amp;ds_e_product_country=ZZ&amp;ds_e_product_language=es&amp;ds_e_product_channel=online&amp;ds_e_product_store_id=&amp;ds_url_v=2&amp;albcp=23471418217&amp;albag=188955071502&amp;isSmbAutoCall=false&amp;needSmbHouyi=false&amp;gad_source=1&amp;gad_campaignid=23471418217&amp;gbraid=0AAAAA_AVUycSgq6khqCam6LTbi1rw7ejb&amp;gclid=CjwKCAjwyYPOBhBxEiwAgpT8PxHqXBeWDnPk1JJWcUvg9FmaLbbkk0XiIec8DKZX5VZiyr1qbYqBxBoCcMIQAvD_BwE" TargetMode="External"/><Relationship Id="rId118" Type="http://schemas.openxmlformats.org/officeDocument/2006/relationships/hyperlink" Target="https://hotmart.com/es/marketplace/productos/prevencar-seguridad-vial/M93778733V" TargetMode="External"/><Relationship Id="rId139" Type="http://schemas.openxmlformats.org/officeDocument/2006/relationships/hyperlink" Target="https://comprapromocionales.com/product/libreta-ejecutiva/" TargetMode="External"/><Relationship Id="rId85" Type="http://schemas.openxmlformats.org/officeDocument/2006/relationships/hyperlink" Target="https://panafargo.com/producto/gancho-lotero-doble-clip-o-aprieta-papel-en-varios-tamanos/?srsltid=AfmBOoqn0F9_HYx4QVPZvebriqX6iB83uL1bH3owx7PI8kkJHhy7QXUO" TargetMode="External"/><Relationship Id="rId150" Type="http://schemas.openxmlformats.org/officeDocument/2006/relationships/hyperlink" Target="https://www.casaferretera.com/lienza_f-vidrio-uyustools-t-tech-20mtshuv020/p?srsltid=AfmBOorpYJdbpnyAbkdwmgp2uRuKAClONH2CZoakncUYuxjH3NecHDSnn2M" TargetMode="External"/><Relationship Id="rId171" Type="http://schemas.openxmlformats.org/officeDocument/2006/relationships/hyperlink" Target="https://papelerialagran12.com/productos/marcador-permanente-triton-xund/" TargetMode="External"/><Relationship Id="rId192" Type="http://schemas.openxmlformats.org/officeDocument/2006/relationships/hyperlink" Target="https://controlservicegroup.co/producto/rollo-de-papel-opalina/?srsltid=AfmBOopau6lyb0hv_bSIETnMZ5MdqdtA21RfTcykGy8ZSGxmhL0Ix8Z3" TargetMode="External"/><Relationship Id="rId206" Type="http://schemas.openxmlformats.org/officeDocument/2006/relationships/hyperlink" Target="https://www.francoquimica.com/products/pintura-acrilica-acrylic-paint-pack-x-6-unids" TargetMode="External"/><Relationship Id="rId227" Type="http://schemas.openxmlformats.org/officeDocument/2006/relationships/vmlDrawing" Target="../drawings/vmlDrawing4.vml"/><Relationship Id="rId12" Type="http://schemas.openxmlformats.org/officeDocument/2006/relationships/hyperlink" Target="https://ohhiparty.com/products/banderin-plastico-reutilizable-largo-10-metros?srsltid=AfmBOopxBuZccRotyPbdDBBPnkNjX403Y9rPwzUZj3qJVtrQaTHAKFC-" TargetMode="External"/><Relationship Id="rId33" Type="http://schemas.openxmlformats.org/officeDocument/2006/relationships/hyperlink" Target="https://garabatospapeleria.com/productos/caja-x-12-lapices-hexagonal-mirado-grafito-hb-2-paper-mate-cceqn/?srsltid=AfmBOorurOf9sm1X3KxVuyUHn34TYySTxm1sucYTH3eo174ZStyb5uCc" TargetMode="External"/><Relationship Id="rId108" Type="http://schemas.openxmlformats.org/officeDocument/2006/relationships/hyperlink" Target="https://toysmarket.co/producto/palabreria-juego-de-mesa/" TargetMode="External"/><Relationship Id="rId129" Type="http://schemas.openxmlformats.org/officeDocument/2006/relationships/hyperlink" Target="https://www.elpuntodelarte.com/shop/pa33-color-ah-royal-jumbo-x12-punta-5mm-pac2502-33-53289?category=27" TargetMode="External"/><Relationship Id="rId54" Type="http://schemas.openxmlformats.org/officeDocument/2006/relationships/hyperlink" Target="https://aoimportaciones.com/producto/cinta-termica-delgada/" TargetMode="External"/><Relationship Id="rId75" Type="http://schemas.openxmlformats.org/officeDocument/2006/relationships/hyperlink" Target="https://www.comercialpapelera.com.co/tienda/Espatula-Metal-X5-Und-p790634486?srsltid=AfmBOorE8BANrJkx8bHLLv-UK-V2ruZuIqOqNYYeB3-d0-p0ITn10fEmrpA" TargetMode="External"/><Relationship Id="rId96" Type="http://schemas.openxmlformats.org/officeDocument/2006/relationships/hyperlink" Target="https://www.amazon.es/Homealexa-Montessori-Actividad-Aprendizaje-Educaci%C3%B3n/dp/B07WPCS8R1/ref=sr_1_19_sspa?dib=eyJ2IjoiMSJ9.o6IWtibCNOa3pY5yaNwQGliGCbKFEFcj268qjrFlQvpTtjygVVJbQ-l0m1dhC0fKUVQL_uLO0--FjPEwPPRMQIEsl3293i2nvGl7Ujv2iPcmnNr0uRYM2X08uE-gZBkLZbJswAU3UaakEap8HObwFcVc4jYJnKLfzKZpEV2ougUgkDQqUoOWqgLEwnoGcG2eaGeu8WHUNIFBza-OFFYByiNIQW7Us09X7A0PcSyCAXTn9jCcSwGrr9zS3XxQb-HddOgqPsYnFIp5eCzgqlq2DcDCkR_AyqKd-G1-Jmc6Odo.Cd1xZU4GS1wopyZ6KGKL1mQHAEhaUinjWoWdMHm7JPs&amp;dib_tag=se&amp;keywords=enhebrar+juguete&amp;qid=1774369140&amp;sr=8-19-spons&amp;aref=rjVjy8uTkU&amp;sp_csd=d2lkZ2V0TmFtZT1zcF9tdGY&amp;psc=1&amp;language=es_ES&amp;currency=COP" TargetMode="External"/><Relationship Id="rId140" Type="http://schemas.openxmlformats.org/officeDocument/2006/relationships/hyperlink" Target="https://productosysuministros.com/web/producto/1752-marcador-permanente-sharpie-punta-fina-azul-x-12-unidades?srsltid=AfmBOopzKVl41kylHgi6KYX1-AUJPorEipaZKPGGG7uq72ryvTKrBWq5" TargetMode="External"/><Relationship Id="rId161" Type="http://schemas.openxmlformats.org/officeDocument/2006/relationships/hyperlink" Target="https://www.lamina.com.co/products/tiza-lapiz-facil-tajado" TargetMode="External"/><Relationship Id="rId182" Type="http://schemas.openxmlformats.org/officeDocument/2006/relationships/hyperlink" Target="https://www.mijuegobonito.com/products/operacion-dinamita-juego-de-memoria-calculo-y-reflejos-rapidos-7-anos-2-6-jugadores-15-min-ludilo-mi-juego-bonito?srsltid=AfmBOoqcDqnst3UJRnNhY49m3iLmX9ztQgHIfT1Wju3zcT2ojDsbUnAL" TargetMode="External"/><Relationship Id="rId217" Type="http://schemas.openxmlformats.org/officeDocument/2006/relationships/hyperlink" Target="https://occidentepapeleria.com/producto/rotulos-adhesivos-redondo-imprentar-ref-1631-morado-270-2/" TargetMode="External"/><Relationship Id="rId6" Type="http://schemas.openxmlformats.org/officeDocument/2006/relationships/hyperlink" Target="https://www.mercadolibre.com.co/alfileres-de-seda-caja-100-por-paquete/up/MCOU3409180777?matt_tool=19390127&amp;utm_source=google_shopping&amp;utm_medium=organic&amp;pdp_filters=item_id%3AMCO1667896257&amp;from=gshop" TargetMode="External"/><Relationship Id="rId23" Type="http://schemas.openxmlformats.org/officeDocument/2006/relationships/hyperlink" Target="https://libreriatroya.com/products/estuche-boligrafo-offi-esco-semi-gel-0-7-x10?variant=51441877647633&amp;country=CO&amp;currency=COP&amp;utm_medium=product_sync&amp;utm_source=google&amp;utm_content=sag_organic&amp;utm_campaign=sag_organic&amp;srsltid=AfmBOophlsIc6UY5escKHBJcnIVr6Jym6a0W8wXofzG9arsJcsGU_WhUHEE" TargetMode="External"/><Relationship Id="rId119" Type="http://schemas.openxmlformats.org/officeDocument/2006/relationships/hyperlink" Target="https://ludoprevencion.com/tienda-colombia/" TargetMode="External"/><Relationship Id="rId44" Type="http://schemas.openxmlformats.org/officeDocument/2006/relationships/hyperlink" Target="https://coserenlinea.com.co/products/cartulina-calipso-1-8-octavo-surtida-paq-x100-und" TargetMode="External"/><Relationship Id="rId65" Type="http://schemas.openxmlformats.org/officeDocument/2006/relationships/hyperlink" Target="https://lagarza.com.co/es/productos/cuaderno-cosido-cuadriculado-50-hojas" TargetMode="External"/><Relationship Id="rId86" Type="http://schemas.openxmlformats.org/officeDocument/2006/relationships/hyperlink" Target="https://www.tyuimportaciones.co/index.php?route=product/product&amp;product_id=391" TargetMode="External"/><Relationship Id="rId130" Type="http://schemas.openxmlformats.org/officeDocument/2006/relationships/hyperlink" Target="https://www.papyser.com/tienda/producto/lapiz-color-ah-royal-x-12-jumbo-5-mm-+-tajalapiz?srsltid=AfmBOorvHfFGNbLPH1ne_LDob91SCAzv1UfOI--2UrrU6aJ_IbKD0O-q" TargetMode="External"/><Relationship Id="rId151" Type="http://schemas.openxmlformats.org/officeDocument/2006/relationships/hyperlink" Target="https://electroservimos.co/equipos-y-herramientas/4299-c20f-cinta-metrica-lienza-fibra-de-vidrio-20-mts-forte.html" TargetMode="External"/><Relationship Id="rId172" Type="http://schemas.openxmlformats.org/officeDocument/2006/relationships/hyperlink" Target="https://www.pricesmart.com/es-co/producto/sharpie-marcadores-acrilicos-a-base-de-agua-12-unidades-511851/511851" TargetMode="External"/><Relationship Id="rId193" Type="http://schemas.openxmlformats.org/officeDocument/2006/relationships/hyperlink" Target="https://www.papyser.com/tienda/producto/pegante-liquido-papel-x-225-g-colbon-aplicador?srsltid=AfmBOoq1c5SRoT-OTmn2hdkzY0E_ijWj0daAx5GslUgs_VpSEitufMND" TargetMode="External"/><Relationship Id="rId207" Type="http://schemas.openxmlformats.org/officeDocument/2006/relationships/hyperlink" Target="https://www.comercialpapelera.com.co/tienda/protector-de-hojas-carta-x100-und-p790637385?srsltid=AfmBOooxsk7PnnA01_nzuWllZWbllt2KCzMDWfTGcTMsNxKGkG8rNG1u" TargetMode="External"/><Relationship Id="rId228" Type="http://schemas.openxmlformats.org/officeDocument/2006/relationships/comments" Target="../comments4.xml"/><Relationship Id="rId13" Type="http://schemas.openxmlformats.org/officeDocument/2006/relationships/hyperlink" Target="https://www.exito.com/bateria-pila-alkalina-aa-x-4-unidades-panasonic-100075274-mp/p" TargetMode="External"/><Relationship Id="rId109" Type="http://schemas.openxmlformats.org/officeDocument/2006/relationships/hyperlink" Target="https://www.amazon.com/-/es/RAINBOW-TOYFROG-Juguetes-construcci%C3%B3n-juguetes/dp/B01DLKCCBU" TargetMode="External"/><Relationship Id="rId34" Type="http://schemas.openxmlformats.org/officeDocument/2006/relationships/hyperlink" Target="https://www.homecenter.com.co/homecenter-co/product/909535/caja-plastica-ultraforte-con-tapa-46lt-597x234x464-cm-transparente-just-home-collection/909535/" TargetMode="External"/><Relationship Id="rId55" Type="http://schemas.openxmlformats.org/officeDocument/2006/relationships/hyperlink" Target="https://creacionesgeek.com/producto/cinta-termica-5-mm/" TargetMode="External"/><Relationship Id="rId76" Type="http://schemas.openxmlformats.org/officeDocument/2006/relationships/hyperlink" Target="https://www.panamericana.com.co/set-de-espatula-x-5-piezas-metalicas-654584/p?idsku=654584&amp;srsltid=AfmBOoo_5j0pCR6gyquiD3gEboPOWKY8Mek-E489BfZ94lkE3_eUuSrjMLU" TargetMode="External"/><Relationship Id="rId97" Type="http://schemas.openxmlformats.org/officeDocument/2006/relationships/hyperlink" Target="https://www.panamericana.com.co/rafly-455640/p?srsltid=AfmBOopnsEOUjuj5dBT6-s0hfFCKWPe3e7II_47RkTDl_Ai0x-NPurVf" TargetMode="External"/><Relationship Id="rId120" Type="http://schemas.openxmlformats.org/officeDocument/2006/relationships/hyperlink" Target="https://community.secop.gov.co/Public/Tendering/OpportunityDetail/Index?noticeUID=CO1.NTC.8172419&amp;isFromPublicArea=True&amp;isModal=False" TargetMode="External"/><Relationship Id="rId141" Type="http://schemas.openxmlformats.org/officeDocument/2006/relationships/hyperlink" Target="https://printell.com.co/producto/marcador-borrable-printell-negro/" TargetMode="External"/><Relationship Id="rId7" Type="http://schemas.openxmlformats.org/officeDocument/2006/relationships/hyperlink" Target="https://www.amazon.com/-/es/Clover-Alfileres-seda-caja-paquete/dp/B00168241S" TargetMode="External"/><Relationship Id="rId162" Type="http://schemas.openxmlformats.org/officeDocument/2006/relationships/hyperlink" Target="https://www.baroncolombia.com/producto/tinta-hp-plotter-1000ml-magenta/?srsltid=AfmBOoq6jvgzkM_oVOSwT6XEHbpQAqLWlw6ulbEmHUWI0R_bP8kvIqqUYd0" TargetMode="External"/><Relationship Id="rId183" Type="http://schemas.openxmlformats.org/officeDocument/2006/relationships/hyperlink" Target="https://vdgimport.com/productos/pp/rollo-de-papel-polipropileno-adhesivo-61-cm-x-30-m/" TargetMode="External"/><Relationship Id="rId218" Type="http://schemas.openxmlformats.org/officeDocument/2006/relationships/hyperlink" Target="https://www.panamericana.com.co/rotulos-multiusos-circulos-de-color-rojo/p" TargetMode="External"/><Relationship Id="rId24" Type="http://schemas.openxmlformats.org/officeDocument/2006/relationships/hyperlink" Target="https://publicitar.com.co/tienda/articulo-de-escritura/boligrafos-plasticos/boligrafo-rapid-gel/?srsltid=AfmBOooVPoU6suScMFEo7ayyewFLFErg9UQt2pRzua0vJ6tEvmWr3gd6" TargetMode="External"/><Relationship Id="rId45" Type="http://schemas.openxmlformats.org/officeDocument/2006/relationships/hyperlink" Target="https://tecnonissi.com/producto/cartulina-calipso-1-8-10-colores-surtidos/?v=7f0c663dc5fa" TargetMode="External"/><Relationship Id="rId66" Type="http://schemas.openxmlformats.org/officeDocument/2006/relationships/hyperlink" Target="https://www.exito.com/cuaderno-cosido-cuadriculado-50-hojas-cosido-finlandek-3188697/p?idsku=3615707&amp;srsltid=AfmBOorosLqfocPhvYKEcvDMWWgXo00dpDo1LYSHqCWJ6UVOhVDC2p_nfEM" TargetMode="External"/><Relationship Id="rId87" Type="http://schemas.openxmlformats.org/officeDocument/2006/relationships/hyperlink" Target="https://www.mercadolibre.com.co/the-bambino-tree-sight-word-bingo-nivel-1-y-2--aprender-a-l/up/MCOU2590611176?pdp_filters=item_id:MCO2717647738" TargetMode="External"/><Relationship Id="rId110" Type="http://schemas.openxmlformats.org/officeDocument/2006/relationships/hyperlink" Target="https://www.amazon.com/Chameleon-galardonado-palabras-secretas-adicionales/dp/B09S3ZJJRM/ref=sr_1_1_sspa?adgrpid=167665647824&amp;dib=eyJ2IjoiMSJ9.tpsrxtsh95-DhrNu3c8oQBWxVdYdiLbAknb-3vrXDPLLXf8usaPrRZ9Ism_8ogAcSUkWrKH1Vk2BE44jh4eBYoXt7959bQ2z6gmqPpjOfOFkiyLFcfDdKeM-do1d9UX&amp;th=1&amp;language=es_US" TargetMode="External"/><Relationship Id="rId131" Type="http://schemas.openxmlformats.org/officeDocument/2006/relationships/hyperlink" Target="https://community.secop.gov.co/Public/Tendering/OpportunityDetail/Index?noticeUID=CO1.NTC.6150866&amp;isFromPublicArea=True&amp;isModal=False" TargetMode="External"/><Relationship Id="rId152" Type="http://schemas.openxmlformats.org/officeDocument/2006/relationships/hyperlink" Target="https://www.mercadolibre.com.co/multitoma-regleta-electrica-6-salidas-3m-proteccion-sobrecarga-titanium/p/MCO30463814?pdp_filters=item_id:MCO2181256042" TargetMode="External"/><Relationship Id="rId173" Type="http://schemas.openxmlformats.org/officeDocument/2006/relationships/hyperlink" Target="https://papeleriaelrio.com.co/producto/marcador-sharpie-acrilico-p-bala-carton-x12-und-ref2201070/" TargetMode="External"/><Relationship Id="rId194" Type="http://schemas.openxmlformats.org/officeDocument/2006/relationships/hyperlink" Target="https://www.papyser.com/tienda/producto/pegante-barra-x-20-g-pega-stic-tesa?srsltid=AfmBOoow5bsoDwwPcudFeQx-Jix9MEFkWO5ILHxzS5eBoTIfLUITufe5" TargetMode="External"/><Relationship Id="rId208" Type="http://schemas.openxmlformats.org/officeDocument/2006/relationships/hyperlink" Target="https://sskaizen.com/co/producto/protector-polipropileno-triton-carta-100-5367bo0002/?srsltid=AfmBOoq3OZOTSJ165bin9DjCrpsBnL1qOCWYmik6e5KsTeh1LYy1wyH17y0" TargetMode="External"/><Relationship Id="rId14" Type="http://schemas.openxmlformats.org/officeDocument/2006/relationships/hyperlink" Target="https://todoenpapeleria.com.co/producto/bisturi-metalico-grande/" TargetMode="External"/><Relationship Id="rId35" Type="http://schemas.openxmlformats.org/officeDocument/2006/relationships/hyperlink" Target="https://www.ikea.com/co/es/p/samla-caja-plastica-con-tapa-transparente-s69440761/" TargetMode="External"/><Relationship Id="rId56" Type="http://schemas.openxmlformats.org/officeDocument/2006/relationships/hyperlink" Target="https://www.panamericana.com.co/circulo-cromatico-roseta/p?srsltid=AfmBOooYycXj_F7d9zZ7vy1gVCF3cR1htEpLpx0r3ufal0ksLp8Dhocq" TargetMode="External"/><Relationship Id="rId77" Type="http://schemas.openxmlformats.org/officeDocument/2006/relationships/hyperlink" Target="https://www.jumbocolombia.com/marcador-pelikan-420-estuche-x-4-170601/p?idsku=170601&amp;srsltid=AfmBOoqbwaqB_F_b1hSYgnY0cK53IppiWKObjHAHU2nGHqBpoikJyxP2T9A" TargetMode="External"/><Relationship Id="rId100" Type="http://schemas.openxmlformats.org/officeDocument/2006/relationships/hyperlink" Target="https://www.amazon.com/-/es/Juego-dados-CMYK-Spots-aumentar/dp/B0BJFJSS23?th=1" TargetMode="External"/><Relationship Id="rId8" Type="http://schemas.openxmlformats.org/officeDocument/2006/relationships/hyperlink" Target="https://biologika.co/products/alfiler-en-t-medida?variant=43108649500827" TargetMode="External"/><Relationship Id="rId98" Type="http://schemas.openxmlformats.org/officeDocument/2006/relationships/hyperlink" Target="https://www.alkosto.com/juego-mesa-rafly-cartas/p/7703493165357?srsltid=AfmBOooMPD5PCdymTkXtzCpB8K_v1jaFi0LGxPuCpVHrLf7xDcl02OvX" TargetMode="External"/><Relationship Id="rId121" Type="http://schemas.openxmlformats.org/officeDocument/2006/relationships/hyperlink" Target="https://ludoprevencion.com/tienda-colombia/" TargetMode="External"/><Relationship Id="rId142" Type="http://schemas.openxmlformats.org/officeDocument/2006/relationships/hyperlink" Target="https://www.comercialpapelera.com.co/tienda/marcador-permanente-punta-fina-caja-x12-und-negro-p790635240?srsltid=AfmBOooO4Glgvi7ZhKNNP2fYkc8ET0uuUjo3enwr91JL8NyV4bp-9wx4" TargetMode="External"/><Relationship Id="rId163" Type="http://schemas.openxmlformats.org/officeDocument/2006/relationships/hyperlink" Target="https://www.baroncolombia.com/producto/tinta-hp-plotter-1000ml-black/?srsltid=AfmBOoqP0CL6VwwDqna_-cGNNdy99ZoCnN3Nn_HK1-rS-SO7GJ-E2sAVseo" TargetMode="External"/><Relationship Id="rId184" Type="http://schemas.openxmlformats.org/officeDocument/2006/relationships/hyperlink" Target="https://www.mercadolibre.cl/papel--adhesivo-mate-polipropileno-061x30-metros/up/MLCU60585461" TargetMode="External"/><Relationship Id="rId219" Type="http://schemas.openxmlformats.org/officeDocument/2006/relationships/hyperlink" Target="https://todoenpapeleria.com.co/producto/rotulo-circulos-adhesivos-colores-x-420-unudades/" TargetMode="External"/><Relationship Id="rId3" Type="http://schemas.openxmlformats.org/officeDocument/2006/relationships/hyperlink" Target="https://ferreteriaaldia.com/producto/aerocolor-pintura-multisuperficie-en-aerosol-pintuco/" TargetMode="External"/><Relationship Id="rId214" Type="http://schemas.openxmlformats.org/officeDocument/2006/relationships/hyperlink" Target="https://www.gotittas.com/productos/pqt-x-10-resaltador-pelikan-pastel/?srsltid=AfmBOoqfuEn0_tJ_qMmCjYNWsdfWl17irn4ciQb8foN3KJsUY9cAWOas" TargetMode="External"/><Relationship Id="rId25" Type="http://schemas.openxmlformats.org/officeDocument/2006/relationships/hyperlink" Target="https://www.mercadolibre.com.co/boligrafo-rapid-gel-tipo-micropunta-con-tapa-x-5-unidades/up/MCOU3156318178" TargetMode="External"/><Relationship Id="rId46" Type="http://schemas.openxmlformats.org/officeDocument/2006/relationships/hyperlink" Target="https://www.papeleriaelmayorista.com/producto/cartulina-plana-colores/" TargetMode="External"/><Relationship Id="rId67" Type="http://schemas.openxmlformats.org/officeDocument/2006/relationships/hyperlink" Target="https://lagarza.com.co/es/productos/cuaderno-cosido-rayado-50-hojas" TargetMode="External"/><Relationship Id="rId116" Type="http://schemas.openxmlformats.org/officeDocument/2006/relationships/hyperlink" Target="https://www.mercadolibre.com.co/juego-de-mesa-ahorcado-magnetico-familiar-para-mesa/p/MCO2048186277" TargetMode="External"/><Relationship Id="rId137" Type="http://schemas.openxmlformats.org/officeDocument/2006/relationships/hyperlink" Target="https://promall.com.co/regalos-corporativos/libreta-bamboo-paper-line?srsltid=AfmBOooXySuyzfSm7P6cdPpEbV8_Hll5Cc_qQkPvcZhx7kyPJLeO94Q4eSs" TargetMode="External"/><Relationship Id="rId158" Type="http://schemas.openxmlformats.org/officeDocument/2006/relationships/hyperlink" Target="https://www.mercadolibre.com.co/vinilo-reflectivo-blanco-de-61-cm-x-1-metro/up/MCOU2403451003?matt_tool=19390127&amp;utm_source=google_shopping&amp;utm_medium=organic&amp;pdp_filters=item_id%3AMCO1341743760&amp;from=gshop" TargetMode="External"/><Relationship Id="rId20" Type="http://schemas.openxmlformats.org/officeDocument/2006/relationships/hyperlink" Target="https://www.panamericana.com.co/block-cuadriculado-carta-jean-book-70-hojas-592922/p?idsku=592922&amp;srsltid=AfmBOopW0iyuNTQ65hZSlusKjP88uDp5C4RUsSH67QcC6zhOxILvsC1inks" TargetMode="External"/><Relationship Id="rId41" Type="http://schemas.openxmlformats.org/officeDocument/2006/relationships/hyperlink" Target="https://www.papelerialagaviota.com/pagina-del-producto/carton-paja-blanco-1-8-paquete-10" TargetMode="External"/><Relationship Id="rId62" Type="http://schemas.openxmlformats.org/officeDocument/2006/relationships/hyperlink" Target="https://www.panamericana.com.co/cosedora-manual-para-20-hojas-mae-660687/p?idsku=660687&amp;srsltid=AfmBOoqf3J8gstxU9AAb013hIe9wxrpHOXIuZzNX5SsimxYxQuOp5lIFIBQ" TargetMode="External"/><Relationship Id="rId83" Type="http://schemas.openxmlformats.org/officeDocument/2006/relationships/hyperlink" Target="https://www.tyuimportaciones.co/index.php?route=product/product&amp;product_id=4766" TargetMode="External"/><Relationship Id="rId88" Type="http://schemas.openxmlformats.org/officeDocument/2006/relationships/hyperlink" Target="https://www.amazon.com/-/es/Juego-bingo-palabras-BAMBINO-TREE/dp/B08XZGZV2J?th=1" TargetMode="External"/><Relationship Id="rId111" Type="http://schemas.openxmlformats.org/officeDocument/2006/relationships/hyperlink" Target="https://www.mercadolibre.com.co/juego-de-mesa-gran-papa-la-chamarra-el-camaleon-descubre-al/p/MCO2033312929?matt_tool=19390127&amp;utm_source=google_shopping&amp;utm_medium=organic&amp;pdp_filters=item_id%3AMCO1791434027&amp;from=gshop" TargetMode="External"/><Relationship Id="rId132" Type="http://schemas.openxmlformats.org/officeDocument/2006/relationships/hyperlink" Target="https://community.secop.gov.co/Public/Tendering/OpportunityDetail/Index?noticeUID=CO1.NTC.6150866&amp;isFromPublicArea=True&amp;isModal=False" TargetMode="External"/><Relationship Id="rId153" Type="http://schemas.openxmlformats.org/officeDocument/2006/relationships/hyperlink" Target="https://www.luminaplus.com.co/shop/eca35-multitoma-6-salidas-3m-cable-con-proteccion-tipo-techman-2507" TargetMode="External"/><Relationship Id="rId174" Type="http://schemas.openxmlformats.org/officeDocument/2006/relationships/hyperlink" Target="https://www.olimpica.com/sharpie-twin-tip-tx8/p" TargetMode="External"/><Relationship Id="rId179" Type="http://schemas.openxmlformats.org/officeDocument/2006/relationships/hyperlink" Target="https://papelerialagran12.com/productos/ojos-movibles-x-paquete/?srsltid=AfmBOophQQFDsdnCtSm_H-NEsjbAQTFfTWs_9ktroMJHRTkwm2kUXMmQ" TargetMode="External"/><Relationship Id="rId195" Type="http://schemas.openxmlformats.org/officeDocument/2006/relationships/hyperlink" Target="https://www.exito.com/6-pilas-aa-recargables-2500mah-102436132-mp/p" TargetMode="External"/><Relationship Id="rId209" Type="http://schemas.openxmlformats.org/officeDocument/2006/relationships/hyperlink" Target="https://www.papyser.com/tienda/producto/regla-metalica-50-cm?srsltid=AfmBOornM9G2GAfUJSvKfhJqvBPC6T-nssDMV1guL2Q8qYBfoy3Wl8QB" TargetMode="External"/><Relationship Id="rId190" Type="http://schemas.openxmlformats.org/officeDocument/2006/relationships/hyperlink" Target="https://panafargo.com/producto/papel-kraft-rollo-en-todos-los-tamanos/?srsltid=AfmBOooVdywlJckM2WYghzZJnDqkEwb00UHw6b-70FyCSEKSU5teWfCy" TargetMode="External"/><Relationship Id="rId204" Type="http://schemas.openxmlformats.org/officeDocument/2006/relationships/hyperlink" Target="https://papeleriaeditorialzapata.com/producto/acriltela-franco-amarillo-primario-x30-cc/?srsltid=AfmBOopkeAq55-ywWF_yS-QKP96dj_ytP3_NSVBEPE4E6vyf1-30gD6PzzM" TargetMode="External"/><Relationship Id="rId220" Type="http://schemas.openxmlformats.org/officeDocument/2006/relationships/hyperlink" Target="https://ideaspapeleria.com/producto/4292/calculadora-offi-esco-cientifica-oe-985-de-240-funciones" TargetMode="External"/><Relationship Id="rId225" Type="http://schemas.openxmlformats.org/officeDocument/2006/relationships/hyperlink" Target="https://sheeq-consulting.com/producto/i-poker-c/" TargetMode="External"/><Relationship Id="rId15" Type="http://schemas.openxmlformats.org/officeDocument/2006/relationships/hyperlink" Target="https://occidentepapeleria.com/producto/bitacora-bond-115-gr-1-2-carta-artisan-amarillo-oro/" TargetMode="External"/><Relationship Id="rId36" Type="http://schemas.openxmlformats.org/officeDocument/2006/relationships/hyperlink" Target="https://www.falabella.com.co/falabella-co/product/118402867/Cargador-Pilas-Aaaaa-X4-Baterias-Aa-Recargable-Beston/118402868" TargetMode="External"/><Relationship Id="rId57" Type="http://schemas.openxmlformats.org/officeDocument/2006/relationships/hyperlink" Target="https://www.alpenpaperuniverse.com/products/circulo-cromatico?srsltid=AfmBOoopmOxKnjMvPs1K3eTZ-br-wdE3D1UO0LSZx7kJR9Inj-se-XAO" TargetMode="External"/><Relationship Id="rId106" Type="http://schemas.openxmlformats.org/officeDocument/2006/relationships/hyperlink" Target="https://www.mercadolibre.com.co/juego-de-mesa-inteligente-de-inversion-y-gestion-de-costos/up/MCOU3337549033" TargetMode="External"/><Relationship Id="rId127" Type="http://schemas.openxmlformats.org/officeDocument/2006/relationships/hyperlink" Target="https://lagranpapeleria.com/products/copia-de-boligrafo-kilometrico-retractil?variant=35632019341466&amp;country=CO&amp;currency=COP&amp;utm_medium=product_sync&amp;utm_source=google&amp;utm_content=sag_organic&amp;utm_campaign=sag_organic&amp;srsltid=AfmBOopI2WKeHixiARNwc6hXteYm9ugd7wPiz4KbjtYoivjgKnUEoBLIXGQ" TargetMode="External"/><Relationship Id="rId10" Type="http://schemas.openxmlformats.org/officeDocument/2006/relationships/hyperlink" Target="https://www.papyser.com/tienda/producto/banda-caucho-bolsa-x-1000-g-calibre-18-natural-60-mm?srsltid=AfmBOoo2qQyeZi49gjat7N9p0brUMZgT_I13iJOp1KN4qU2_iPEZ_5IH" TargetMode="External"/><Relationship Id="rId31" Type="http://schemas.openxmlformats.org/officeDocument/2006/relationships/hyperlink" Target="https://www.homecenter.com.co/homecenter-co/product/50989/brocha-en-cerda-mona-cabo-azul-de-1-pulgada/50989/?queryId=e35e2ddf-0e6d-482c-ae29-0147d340b5a2" TargetMode="External"/><Relationship Id="rId52" Type="http://schemas.openxmlformats.org/officeDocument/2006/relationships/hyperlink" Target="https://garabatospapeleria.com/productos/etiqueta-plastica-dymo-blanca-12mmx4m-color-blanco/" TargetMode="External"/><Relationship Id="rId73" Type="http://schemas.openxmlformats.org/officeDocument/2006/relationships/hyperlink" Target="https://www.mercadolibre.com.co/dado-didactico-30x30x30-cm/up/MCOU2428165109" TargetMode="External"/><Relationship Id="rId78" Type="http://schemas.openxmlformats.org/officeDocument/2006/relationships/hyperlink" Target="https://www.carulla.com/marcador-420-estuche-x-4-906928/p" TargetMode="External"/><Relationship Id="rId94" Type="http://schemas.openxmlformats.org/officeDocument/2006/relationships/hyperlink" Target="https://www.amazon.com/-/es/kit-herramientas-del-l%C3%ADder-rendimiento/dp/B0DGLJZJPG/ref=sr_1_42?adgrpid=146768152940&amp;dib=eyJ2IjoiMSJ9.4pYUQu8H_RTuiQmdt93Z8JQ3itcaxFQvt5CExnGyk5C4tzIaHR-Js12RU1miM3bxBEggw87EszdXQ0-pznG1CUoRFMjUkr_ESU2NUpDyC7WgCTsN2qtdW7fbZ0HSPP_f2Qiopd4097r_YdRsQVHYdgoq_JGO5xOf5K11x9yv9ZpymyLJueNPl6K8I_L8lNS-TLURT6IdzGphkNYEyyWeIgmqRgoBBKk7SCuVRzs6QqYAE15PaOL2u5EZPpdKITg1MTTkfue-UC_yXHDdfGBgA4Lu4JHqenQX6fLNSvHB9KI.lCD3_OmsB07wocdMF7TRtyUDETNjqi_j5reIsmzCoR0&amp;dib_tag=se&amp;hvadid=673169177250&amp;hvdev=c&amp;hvlocphy=9208769&amp;hvnetw=g&amp;hvqmt=b&amp;hvrand=14608118402297896878&amp;hvtargid=kwd-295254559889&amp;hydadcr=7244_13380580&amp;keywords=team+building+games+for+adults&amp;mcid=ca962811a2c230c2b7ef35bbfd909ff2&amp;qid=1771850463&amp;sr=8-42" TargetMode="External"/><Relationship Id="rId99" Type="http://schemas.openxmlformats.org/officeDocument/2006/relationships/hyperlink" Target="https://www.mercadolibre.com.co/spots-un-juego-sobre-lanzar-dados-para-aumentar-tu-suerte/p/MCO2047506200" TargetMode="External"/><Relationship Id="rId101" Type="http://schemas.openxmlformats.org/officeDocument/2006/relationships/hyperlink" Target="https://todoenartes.com/products/juego-de-mesa-el-erudito-ingenio-destreza?variant=42651266875470&amp;country=CO&amp;currency=COP&amp;utm_medium=product_sync&amp;utm_source=google&amp;utm_content=sag_organic&amp;utm_campaign=sag_organic&amp;srsltid=AfmBOopio2zkRhbrU0Vr5r2fS_TdAPZbFBwrl73h8408wVatgA6jtLqYHY0" TargetMode="External"/><Relationship Id="rId122" Type="http://schemas.openxmlformats.org/officeDocument/2006/relationships/hyperlink" Target="https://community.secop.gov.co/Public/Tendering/OpportunityDetail/Index?noticeUID=CO1.NTC.8172419&amp;isFromPublicArea=True&amp;isModal=False" TargetMode="External"/><Relationship Id="rId143" Type="http://schemas.openxmlformats.org/officeDocument/2006/relationships/hyperlink" Target="https://printell.com.co/producto/marcador-borrable-printell-surtido/" TargetMode="External"/><Relationship Id="rId148" Type="http://schemas.openxmlformats.org/officeDocument/2006/relationships/hyperlink" Target="https://www.falabella.com.co/falabella-co/product/124079730/Cronometro-Digital-Resistente-Al-Agua-Deportes-Cocina-Correa/124079731" TargetMode="External"/><Relationship Id="rId164" Type="http://schemas.openxmlformats.org/officeDocument/2006/relationships/hyperlink" Target="https://tecnirecargas.com/producto/tinta-litro-para-impresoras-hp-con-sistema-o-para-recarga/" TargetMode="External"/><Relationship Id="rId169" Type="http://schemas.openxmlformats.org/officeDocument/2006/relationships/hyperlink" Target="https://www.mercadolibre.com.co/sacapuntas-tajalapiz-electrico-automatico/up/MCOU2436154474" TargetMode="External"/><Relationship Id="rId185" Type="http://schemas.openxmlformats.org/officeDocument/2006/relationships/hyperlink" Target="https://www.exito.com/papel-adhesivo-pleno-carta-en-mate-x-50-unidades-101369924-mp/p" TargetMode="External"/><Relationship Id="rId4" Type="http://schemas.openxmlformats.org/officeDocument/2006/relationships/hyperlink" Target="https://www.lamina.com.co/products/alfiler-dritz-cabeza-colores-12la?srsltid=AfmBOoqZhHxAquiyGM0kME0yFXquf0k8Z8GFqiZiE5NQGwwn_zXjj3Z2" TargetMode="External"/><Relationship Id="rId9" Type="http://schemas.openxmlformats.org/officeDocument/2006/relationships/hyperlink" Target="https://www.mercadolibre.com.co/alfileres-en-t-paquete-de-100-pines-de-5-cm-para-tejer/up/MCOU2963516712?pdp_filters=item_id:MCO2800564918" TargetMode="External"/><Relationship Id="rId180" Type="http://schemas.openxmlformats.org/officeDocument/2006/relationships/hyperlink" Target="https://productosysuministros.com/web/producto/2619-cartulina-opalina-180-grs-carta-100-unidades?srsltid=AfmBOoqWOcYmPm0d7P3fzInSv3ZD5bbmmroOEcZnJrn6yZsbHFAi9BMd" TargetMode="External"/><Relationship Id="rId210" Type="http://schemas.openxmlformats.org/officeDocument/2006/relationships/hyperlink" Target="https://www.papeleriamarin.com/escolares/72-regla-plastica-20-cms.html?srsltid=AfmBOopfJ1yCC3C9kJxaDtZHzEzS-gWGbjeebu6mZHBHVsa5pdIsLp0CSS4" TargetMode="External"/><Relationship Id="rId215" Type="http://schemas.openxmlformats.org/officeDocument/2006/relationships/hyperlink" Target="https://www.panamericana.com.co/rotulo-multiuso-circular-color-rojo-de-13-mm/p" TargetMode="External"/><Relationship Id="rId26" Type="http://schemas.openxmlformats.org/officeDocument/2006/relationships/hyperlink" Target="https://hotmart.com/es/marketplace/productos/alfombra-de-entrenamiento-de-levantamiento-manual-de-cargas/Q83532746K?ref=X84051074Y" TargetMode="External"/><Relationship Id="rId47" Type="http://schemas.openxmlformats.org/officeDocument/2006/relationships/hyperlink" Target="https://papelerialagran12.com/productos/cartulina-iris-medio-pliego-x-unidad/?variant=388997133&amp;pf=mc&amp;srsltid=AfmBOooLQzQXhVScQ6m5gGgZ6DqOBKQ-Cq6FzBcCpqjY5k3W9NgR1g2kZB8" TargetMode="External"/><Relationship Id="rId68" Type="http://schemas.openxmlformats.org/officeDocument/2006/relationships/hyperlink" Target="https://www.suescun.com.co/producto/cuaderno-cosido-rayado-50-hojas-vip/?srsltid=AfmBOoqO9liX5G5uMuCQs45LCNxJT5iz4eH_tnFMX6oJZP18sGrjRReQ8MA" TargetMode="External"/><Relationship Id="rId89" Type="http://schemas.openxmlformats.org/officeDocument/2006/relationships/hyperlink" Target="https://www.mercadolibre.com.co/juego-de-cartas-ingles-i-toys-for-kids-journey-the-game-of-g/p/MCO2070623426?pdp_filters=item_id%3AMCO3553086868" TargetMode="External"/><Relationship Id="rId112" Type="http://schemas.openxmlformats.org/officeDocument/2006/relationships/hyperlink" Target="https://www.mercadolibre.com.co/juego-de-mesa-codenames-pictures-juego-familiar-basico/p/MCO2060017024" TargetMode="External"/><Relationship Id="rId133" Type="http://schemas.openxmlformats.org/officeDocument/2006/relationships/hyperlink" Target="https://www.mercadolibre.com.co/lapiz-faber-castell-9000-2h-caja-x12-und/p/MCO36232448?matt_tool=19390127&amp;utm_source=google_shopping&amp;utm_medium=organic&amp;pdp_filters=item_id%3AMCO1419604331&amp;from=gshop" TargetMode="External"/><Relationship Id="rId154" Type="http://schemas.openxmlformats.org/officeDocument/2006/relationships/hyperlink" Target="https://www.jd-market.com/products/mouse-optico-usb-luz-led-roja?variant=46808669585646&amp;country=CO&amp;currency=COP&amp;utm_medium=product_sync&amp;utm_source=google&amp;utm_content=sag_organic&amp;utm_campaign=sag_organic&amp;srsltid=AfmBOopzOl17RXAtQ64NV_Og7AAfsOyicTyxah1UXXYjmc4iabi-BJ78IHc" TargetMode="External"/><Relationship Id="rId175" Type="http://schemas.openxmlformats.org/officeDocument/2006/relationships/hyperlink" Target="https://www.panamericana.com.co/memoria-usb-de-32gb-metal-3-2-maxell-667733/p?idsku=667733&amp;srsltid=AfmBOooYc9B7zux15jmwmjflGbSxwkuOf7iaODvyKORIGTNCemWi-o1gCeg" TargetMode="External"/><Relationship Id="rId196" Type="http://schemas.openxmlformats.org/officeDocument/2006/relationships/hyperlink" Target="https://www.mercadolibre.com.co/sacapuntas-doble-con-deposito-x-3-unidades-tajalapiz/up/MCOU2434375010" TargetMode="External"/><Relationship Id="rId200" Type="http://schemas.openxmlformats.org/officeDocument/2006/relationships/hyperlink" Target="https://www.mercadolibre.com.co/pincel-estuche-x-6-surtidos-lengua-de-gato/up/MCOU2409898672" TargetMode="External"/><Relationship Id="rId16" Type="http://schemas.openxmlformats.org/officeDocument/2006/relationships/hyperlink" Target="https://www.homecenter.com.co/homecenter-co/product/542946/bitacora-cartulina-opalina-carta/542946/" TargetMode="External"/><Relationship Id="rId221" Type="http://schemas.openxmlformats.org/officeDocument/2006/relationships/hyperlink" Target="https://milistaya.com/producto/calculadora-cientifica-12-digitos-240-funciones-offi-esco-ref-oe-985/" TargetMode="External"/><Relationship Id="rId37" Type="http://schemas.openxmlformats.org/officeDocument/2006/relationships/hyperlink" Target="https://www.mercadolibre.com.co/carton-cartulina-blanco-70100-cm-x-6-pliegos-calibre-16/up/MCOU2436325778" TargetMode="External"/><Relationship Id="rId58" Type="http://schemas.openxmlformats.org/officeDocument/2006/relationships/hyperlink" Target="https://www.comercialpapelera.com.co/tienda/clip-triton-standard-metalico-institucional-x100-und-p776213677?srsltid=AfmBOoqVEpJKc0QbKn9FZoRAGsCzDcGfsO7tZZI945v0VstQ4zCCYMBz" TargetMode="External"/><Relationship Id="rId79" Type="http://schemas.openxmlformats.org/officeDocument/2006/relationships/hyperlink" Target="https://www.mercadolibre.com.co/etiquetas-adhesivas-wg-rollo-50x50mm-termica-directa-500-unidades-blanco/p/MCO42932138" TargetMode="External"/><Relationship Id="rId102" Type="http://schemas.openxmlformats.org/officeDocument/2006/relationships/hyperlink" Target="https://www.ingeniodestrezamental.com/products/juego-de-mesa-el-erudito?srsltid=AfmBOopNgjBemaTCVYRcYqlJqoGmHLzIYZOloRXiEIm6CsbTBBWEvJQr" TargetMode="External"/><Relationship Id="rId123" Type="http://schemas.openxmlformats.org/officeDocument/2006/relationships/hyperlink" Target="https://tiendasmg.com.co/producto/kit-escritorio-smart/" TargetMode="External"/><Relationship Id="rId144" Type="http://schemas.openxmlformats.org/officeDocument/2006/relationships/hyperlink" Target="https://compranet.com.co/producto/botella-botilito-ecovidrio-225-ml/" TargetMode="External"/><Relationship Id="rId90" Type="http://schemas.openxmlformats.org/officeDocument/2006/relationships/hyperlink" Target="https://www.pepeganga.com/juego-de-mesa-el-juego-de-life-hasbro-gaming-f0800/p?idsku=280351&amp;srsltid=AfmBOopIGNb1nZClMGOrM3dh7KgycAlVrO78Q71i3axqk7zg37v3t-rtxG4" TargetMode="External"/><Relationship Id="rId165" Type="http://schemas.openxmlformats.org/officeDocument/2006/relationships/hyperlink" Target="https://tecnirecargas.com/producto/tinta-litro-para-impresoras-hp-con-sistema-o-para-recarga/" TargetMode="External"/><Relationship Id="rId186" Type="http://schemas.openxmlformats.org/officeDocument/2006/relationships/hyperlink" Target="https://www.mercadolibre.com.co/papel-bifaz-o-doble-proposito-x-5-metros/up/MCOU2429891405" TargetMode="External"/><Relationship Id="rId211" Type="http://schemas.openxmlformats.org/officeDocument/2006/relationships/hyperlink" Target="https://www.grafitos.com.co/producto/regla-transparente-20cm-su-409r/" TargetMode="External"/><Relationship Id="rId27" Type="http://schemas.openxmlformats.org/officeDocument/2006/relationships/hyperlink" Target="https://ludoprevencionperu.com/producto/alfombra-de-entrenamiento-de-levantamiento-manual-de-cargas/?srsltid=AfmBOorVjidFSB7uDYDGguxbfddwYO85uzXzH-qjbKXkLK3hsxNTPtaP" TargetMode="External"/><Relationship Id="rId48" Type="http://schemas.openxmlformats.org/officeDocument/2006/relationships/hyperlink" Target="https://www.papeleriamarin.com/oficina/2391-cartulina-bristol-pliego-70x100-color.html?srsltid=AfmBOopx-ukz23dMRw1wRE2n9a9AmkQ46Y8JKNOtxI-kthn-zLupZreI" TargetMode="External"/><Relationship Id="rId69" Type="http://schemas.openxmlformats.org/officeDocument/2006/relationships/hyperlink" Target="https://www.bolsasyempaquescolombia.com/products/cubiertos-desechables-grandes-6-x100unds?variant=48237125239094&amp;country=CO&amp;currency=COP&amp;utm_medium=product_sync&amp;utm_source=google&amp;utm_content=sag_organic&amp;utm_campaign=sag_organic&amp;srsltid=AfmBOopODeHDIgqA0o5riyKvlU0FjygVAA9hJh8Z_g8ZvFDyQ_vo5L0ZNN0" TargetMode="External"/><Relationship Id="rId113" Type="http://schemas.openxmlformats.org/officeDocument/2006/relationships/hyperlink" Target="https://ugi-games.com/product/comprar-imagenes-expansion-codigo-secreto-juego-mesa-cartas-espanol-devir-czech-games-edition-nuevo-barato-oferta/" TargetMode="External"/><Relationship Id="rId134" Type="http://schemas.openxmlformats.org/officeDocument/2006/relationships/hyperlink" Target="https://garabatospapeleria.com/productos/caja-de-lapices-x12-unidades-graduacion-2b-faber-castell/?srsltid=AfmBOorbOqY6BBYPUzUaf-HqLMWI-UAVAWtKggFicuBteaX-IAUvL0ZZ" TargetMode="External"/><Relationship Id="rId80" Type="http://schemas.openxmlformats.org/officeDocument/2006/relationships/hyperlink" Target="https://www.bolsasyempaquescolombia.com/products/rollo-x-500-etiquetas-autoadhesivas-100x80mm?variant=51825653547318&amp;country=CO&amp;currency=COP&amp;utm_medium=product_sync&amp;utm_source=google&amp;utm_content=sag_organic&amp;utm_campaign=sag_organic&amp;srsltid=AfmBOoo3H0XrASBFhV4gYH1pyddV_0rob1Feeb8ALyfczy4DmytWIR8xDXQ" TargetMode="External"/><Relationship Id="rId155" Type="http://schemas.openxmlformats.org/officeDocument/2006/relationships/hyperlink" Target="https://www.exito.com/mouse-usb-optico-iluminado-raton-economico-para-computador-610249819-102363641-mp/p?idsku=102363641&amp;srsltid=AfmBOooDzq0jRuU8WWbWdC-kHmZt2OKt1SU46pQvsH1UhGRhMH4KgN_QQkw" TargetMode="External"/><Relationship Id="rId176" Type="http://schemas.openxmlformats.org/officeDocument/2006/relationships/hyperlink" Target="https://www.mercadolibre.com.co/mugs-pocillos-vasos-personalizados-medellin/up/MCOU2431601503?pdp_filters=item_id:MCO832077733" TargetMode="External"/><Relationship Id="rId197" Type="http://schemas.openxmlformats.org/officeDocument/2006/relationships/hyperlink" Target="https://www.mercadolibre.com.co/pila-bateria-aaa-alcalina-gp-ultra-pack-x4/p/MCO2069872804?matt_tool=19390127&amp;utm_source=google_shopping&amp;utm_medium=organic&amp;pdp_filters=item_id%3AMCO2691476432&amp;from=gshop" TargetMode="External"/><Relationship Id="rId201" Type="http://schemas.openxmlformats.org/officeDocument/2006/relationships/hyperlink" Target="https://www.mercadolibre.com.co/kit-pinceles-nylon-redondo-x3-0-00-000/up/MCOU2420283029?matt_tool=19390127&amp;utm_source=google_shopping&amp;utm_medium=organic&amp;pdp_filters=item_id%3AMCO2249878122&amp;from=gshop" TargetMode="External"/><Relationship Id="rId222" Type="http://schemas.openxmlformats.org/officeDocument/2006/relationships/hyperlink" Target="https://www.exito.com/apuntador-pointer-presentador-diapositivas-laser-mac-pc-usb-102595780-mp/p" TargetMode="External"/><Relationship Id="rId17" Type="http://schemas.openxmlformats.org/officeDocument/2006/relationships/hyperlink" Target="https://www.papeleriamodelo.com/producto/block-apuntes-1-2-carta-blanco/" TargetMode="External"/><Relationship Id="rId38" Type="http://schemas.openxmlformats.org/officeDocument/2006/relationships/hyperlink" Target="https://www.homecenter.com.co/homecenter-co/product/3003260/rollo-carton-corrugado-12x20-m/3003260/?kid=shopp_goosho_1430587&amp;shop=1&amp;gad_source=1&amp;gad_campaignid=17622046203&amp;gbraid=0AAAAADt6wnq-XDJ2beaohef65K_xnAQyW&amp;gclid=CjwKCAjwyYPOBhBxEiwAgpT8P3440QyOjPp7KBulUVmtU6d0sSn3nVsq5vFHxUn9cWOkSaM-HjubjxoC4egQAvD_BwE" TargetMode="External"/><Relationship Id="rId59" Type="http://schemas.openxmlformats.org/officeDocument/2006/relationships/hyperlink" Target="https://www.papyser.com/tienda/producto/clip-sencillo-x-100-leader?srsltid=AfmBOorsw5rxixbZ3gf-mmnrzKZXCIiNdKPxJ21A5JIi7nawJMcxTB56" TargetMode="External"/><Relationship Id="rId103" Type="http://schemas.openxmlformats.org/officeDocument/2006/relationships/hyperlink" Target="https://www.amazon.com/%C2%A1Juego-CoderMindz-para-aprendices-Presentado/dp/B07FTG78C3/ref=sr_1_9?__mk_es_US=%C3%85M%C3%85%C5%BD%C3%95%C3%91&amp;crid=FDK6OSSLYMQJ&amp;dib=eyJ2IjoiMSJ9.8TEwlzyjfpR7C9WPW52F5pTUuDxCHFXfDjpf2OHhqtxRGMlwTF8dXkIrX2Btl0vKFWZzymTCSiWDmauiCJAw-A7i_59jz_UYfJwF8qEJQrKrRLRRgMgmwRuN-D5cfd4UQ_iqos_aJQPK0BMaixf8-TYk5HwWkyjZR3CQoz_9HmjBtcval0nCxm3ihoDksIIvInjAE_V_6KsphGdm7Hzwr32hPhTAXw-Kx0L70MFvG4zfcluT3vHIkvkYWxKgesv43TscaxxCqefHO7Fh2mhnJVq3_UsUGMsOQjmV8k3THug.6tQyAKWPE2Wm5ouNF_I_3fxxzlSRTuCezbxmf-Pl410&amp;dib_tag=se&amp;keywords=software+programming+educational+board+game&amp;qid=1771855542&amp;sprefix=software+programming+educational+board+game%2Caps%2C183&amp;sr=8-9&amp;language=en_US&amp;currency=COP" TargetMode="External"/><Relationship Id="rId124" Type="http://schemas.openxmlformats.org/officeDocument/2006/relationships/hyperlink" Target="https://www.suescun.com.co/producto/lana-surtida-x12-su-510/?srsltid=AfmBOorPCm42z51_Q4ywBKftWeVisFRtyVCxrgbgk-p8A6Zomx5UPpEU" TargetMode="External"/><Relationship Id="rId70" Type="http://schemas.openxmlformats.org/officeDocument/2006/relationships/hyperlink" Target="https://berpa.com.co/CUBIERTOS/cuchara-grande-sura-x-100-60-r687?srsltid=AfmBOoqEEW3x5f81JcQUo7BlBDgRNMUapqETzGGZrwkpJ6tNhRg5P_Il" TargetMode="External"/><Relationship Id="rId91" Type="http://schemas.openxmlformats.org/officeDocument/2006/relationships/hyperlink" Target="https://www.amazon.com/-/es/Grandpa-Becks-Games-extremadamente-adolescentes/dp/B0077Q0NP2/ref=sr_1_3?__mk_es_US=%C3%85M%C3%85%C5%BD%C3%95%C3%91&amp;crid=34D5TYJPRFGA5&amp;dib=eyJ2IjoiMSJ9.P6Qi3p1Z3ZHNJUzCxHaa12O0VsxAOdG9hOIcemij8IpuqPNKlLkFKBWrp7s_1T7dOU5CBSo2dzY9fSrgfb1_sdpEc6ZqPjMpBI05LGbkZBoHV_WrJVpfbgCrHjIdYcyfLve8ZaCMuQDgSsa1WIMC7texahSgBVDotpVGT7n8oNQDBHS2lfXXI1WFGibnEA2twJcoZ9EChhfb04PencJ8Zo_Wtmg-Mmq7cjTDAuVhq_A.gUiVOH8h8wfJH1LCyNa5zzhmn6LhZMI9qgP8ZAD8H5I&amp;dib_tag=se&amp;keywords=accounting+game&amp;qid=1771616129&amp;sprefix=accounting+ga,aps,240&amp;sr=8-3" TargetMode="External"/><Relationship Id="rId145" Type="http://schemas.openxmlformats.org/officeDocument/2006/relationships/hyperlink" Target="https://www.fleamarket.com.co/producto/botilito-ecovidrio-1-2/" TargetMode="External"/><Relationship Id="rId166" Type="http://schemas.openxmlformats.org/officeDocument/2006/relationships/hyperlink" Target="https://marcaidea.com/producto/tarjetas-pvc-cr80-americana-30-mil-blanca/?srsltid=AfmBOoqktUAWwPFzDgUztor_6NkDbWFzCV8Ra_zttoAzgeQRtMZA4Ofzs1c" TargetMode="External"/><Relationship Id="rId187" Type="http://schemas.openxmlformats.org/officeDocument/2006/relationships/hyperlink" Target="https://insublitex.com.co/papeleria/42-papel-bifaz-por-10-metros.html" TargetMode="External"/><Relationship Id="rId1" Type="http://schemas.openxmlformats.org/officeDocument/2006/relationships/hyperlink" Target="https://www.panamericana.com.co/set-de-acuarelas-con-estuche-x-73-piezas-681672/p?srsltid=AfmBOooM9xXRjE724Bj-lEbBL3_oBSg9_5uIG0MyiCpzVGxWskGrcdwa" TargetMode="External"/><Relationship Id="rId212" Type="http://schemas.openxmlformats.org/officeDocument/2006/relationships/hyperlink" Target="https://www.grafitos.com.co/producto/repuesto-bisturi-grande/" TargetMode="External"/><Relationship Id="rId28" Type="http://schemas.openxmlformats.org/officeDocument/2006/relationships/hyperlink" Target="https://superdesechablesdelnorte.com/bolsas/65-bolsa-transp-6-x-11-x-100-und-1-kilo.html" TargetMode="External"/><Relationship Id="rId49" Type="http://schemas.openxmlformats.org/officeDocument/2006/relationships/hyperlink" Target="https://www.comercialpapelera.com.co/tienda/cartulina-bristol-amarillo-70-x-100-cm-1-und-p776214372" TargetMode="External"/><Relationship Id="rId114" Type="http://schemas.openxmlformats.org/officeDocument/2006/relationships/hyperlink" Target="https://iokus.co/products/juego-de-palabras-basta?srsltid=AfmBOood1AB7NiqPyKvmjjvZNNv9SPzC_cm0VEaG0jldV3u6TeqZluVt" TargetMode="External"/><Relationship Id="rId60" Type="http://schemas.openxmlformats.org/officeDocument/2006/relationships/hyperlink" Target="https://www.falabella.com.co/falabella-co/product/129072317/Guillotina-Cizalla-Palanca-A4-Corta-10-Hojas-10-X-10/129072318" TargetMode="External"/><Relationship Id="rId81" Type="http://schemas.openxmlformats.org/officeDocument/2006/relationships/hyperlink" Target="https://ferreco.com/inicio/6765-flexometro-cinta-metrica-5-metros-con-recubrimiento-mate-alta-calidad-coofix.html?srsltid=AfmBOopdXaJZTXtKZ5elc-bGFncMAXlVESsWLR8Apgv0r86gEbiemEhzVKc" TargetMode="External"/><Relationship Id="rId135" Type="http://schemas.openxmlformats.org/officeDocument/2006/relationships/hyperlink" Target="https://garabatospapeleria.com/productos/caja-lapiz-rojo-chequeo-faber-castell/?srsltid=AfmBOopt02_YvxK0YiJyqaUtHSfgbFsO800DolSNJS5h5bftV9U5yc6F" TargetMode="External"/><Relationship Id="rId156" Type="http://schemas.openxmlformats.org/officeDocument/2006/relationships/hyperlink" Target="https://www.papyser.com/tienda/producto/yoyo-para-escarapela-redondo-negro?gad_source=1&amp;gad_campaignid=18902749154&amp;gbraid=0AAAAACTR7EqeDBhhnJxhNyMswg3RxP2q8&amp;gclid=CjwKCAjwspPOBhB9EiwATFbi5JWkNadQPN7ad_-l-9w_TBOAhFcvHIQzVd9LtTnG-XOCiB-TFuBEfhoCdbgQAvD_BwE" TargetMode="External"/><Relationship Id="rId177" Type="http://schemas.openxmlformats.org/officeDocument/2006/relationships/hyperlink" Target="https://imprinco.com/producto/pocillo-mug-personalizado/" TargetMode="External"/><Relationship Id="rId198" Type="http://schemas.openxmlformats.org/officeDocument/2006/relationships/hyperlink" Target="https://www.exito.com/bateria-pila-alkalina-aaa-x-4-unidades-panasonic-100042484-mp/p?idsku=100042484&amp;srsltid=AfmBOooHdK7wIV6O30gRwFGaHet9bRRNztbAuVjgZozDAUyteItw2xjWoQ4" TargetMode="External"/><Relationship Id="rId202" Type="http://schemas.openxmlformats.org/officeDocument/2006/relationships/hyperlink" Target="https://www.mercadolibre.com.co/kit-de-pinceles-angulares-unicolor-de-cerdas-sinteticas-y-con-12-unidades/p/MCO58206811" TargetMode="External"/><Relationship Id="rId223" Type="http://schemas.openxmlformats.org/officeDocument/2006/relationships/hyperlink" Target="https://tienda.bazaramericano.com.co/brochas-y-rodillos/brocha-goya-1-pulgada-r131" TargetMode="External"/><Relationship Id="rId18" Type="http://schemas.openxmlformats.org/officeDocument/2006/relationships/hyperlink" Target="https://transcribimos.com.co/producto/block-bond-sin-rayas-1-2-carta-50-hojas-ff/" TargetMode="External"/><Relationship Id="rId39" Type="http://schemas.openxmlformats.org/officeDocument/2006/relationships/hyperlink" Target="https://papeleriamilger.com/producto/carton-prensado-o-piedra-2mm/" TargetMode="External"/><Relationship Id="rId50" Type="http://schemas.openxmlformats.org/officeDocument/2006/relationships/hyperlink" Target="https://www.belplasticos.com/productos/cinta-adhesiva-enmascarar-1-x-40mts/?srsltid=AfmBOopIKqAbHVgDtq7gDqk9L2Sou_esjTCp2n-2uJt8GNiqckNvUtI-8yE" TargetMode="External"/><Relationship Id="rId104" Type="http://schemas.openxmlformats.org/officeDocument/2006/relationships/hyperlink" Target="https://www.mercadolibre.com.co/juego-de-mesa-codermindz-para-estudiantes-de-ia-a-partir-de/p/MCO2042031997" TargetMode="External"/><Relationship Id="rId125" Type="http://schemas.openxmlformats.org/officeDocument/2006/relationships/hyperlink" Target="https://celestepapeleriayregalos.com/product/lana-escolar-paq-x-12-colores-surtidos-de-7-gms/" TargetMode="External"/><Relationship Id="rId146" Type="http://schemas.openxmlformats.org/officeDocument/2006/relationships/hyperlink" Target="https://www.exito.com/carton-x-10-pilas-baterias-ag13-lr44357sr44wsr1154w-100011586-mp/p?idsku=100011586&amp;srsltid=AfmBOor5Fsu7AvNGBuQG8P79U0knuQx7gQJMYw0KLmrZJsIlSgzeMPpr2eY" TargetMode="External"/><Relationship Id="rId167" Type="http://schemas.openxmlformats.org/officeDocument/2006/relationships/hyperlink" Target="https://tiendafla.com/producto/13/tarjetas-pvc-calibre-30-usa" TargetMode="External"/><Relationship Id="rId188" Type="http://schemas.openxmlformats.org/officeDocument/2006/relationships/hyperlink" Target="https://www.mercadolibre.com.co/papel-sublimacion-rosado-100-hojas-mejor-trasferenci-tam-a3/up/MCOU2429073547?pdp_filters=item_id:MCO583805812" TargetMode="External"/><Relationship Id="rId71" Type="http://schemas.openxmlformats.org/officeDocument/2006/relationships/hyperlink" Target="https://papeleriaelpinguino.com/producto/curvigrafo-faber-castell-x-3/" TargetMode="External"/><Relationship Id="rId92" Type="http://schemas.openxmlformats.org/officeDocument/2006/relationships/hyperlink" Target="https://www.mercadolibre.com.co/jogo-de-cartas-cover-your-assets-2-6-jogadores-com-mais-de/p/MCO2056531167?matt_tool=19390127&amp;utm_source=google_shopping&amp;utm_medium=organic&amp;pdp_filters=item_id%3AMCO1798458213&amp;from=gshop" TargetMode="External"/><Relationship Id="rId213" Type="http://schemas.openxmlformats.org/officeDocument/2006/relationships/hyperlink" Target="https://www.papeleriaelmayorista.com/producto/resaltador-flash-pastel-petalos-x-10-pelikan/" TargetMode="External"/><Relationship Id="rId2" Type="http://schemas.openxmlformats.org/officeDocument/2006/relationships/hyperlink" Target="https://mayoristapaisalandia.com/products/pintura-en-aerosol-400-ml-spray-colors?srsltid=AfmBOoppmIvBlCKW5R5GQK7gXksS8qzvJD06aBRcsis8HUu8BxxcGNR9" TargetMode="External"/><Relationship Id="rId29" Type="http://schemas.openxmlformats.org/officeDocument/2006/relationships/hyperlink" Target="https://fabrica-bolsas.com/bolsas-de-tela-personalizadas/bolsas-de-tela-al-por-mayor-plana-manija/" TargetMode="External"/><Relationship Id="rId40" Type="http://schemas.openxmlformats.org/officeDocument/2006/relationships/hyperlink" Target="https://www.papeleriaelmayorista.com/producto/carton-paja-1-8/" TargetMode="External"/><Relationship Id="rId115" Type="http://schemas.openxmlformats.org/officeDocument/2006/relationships/hyperlink" Target="https://www.exito.com/basta-el-desafio-de-palabras-que-pondra-a-prueba-tu-agilidad-mental-104223491-mp/p" TargetMode="External"/><Relationship Id="rId136" Type="http://schemas.openxmlformats.org/officeDocument/2006/relationships/hyperlink" Target="https://comprapromocionales.com/product/libreta-bambu-banderitas-ba01/" TargetMode="External"/><Relationship Id="rId157" Type="http://schemas.openxmlformats.org/officeDocument/2006/relationships/hyperlink" Target="https://ductosyventilacion.com/tienda/vinipel-para-embalaje/vinipel-transparente-embalaje-500m-x-30cm/?srsltid=AfmBOoqyl7tnryPg5vI-iMphn5FDbKdvXXW9qYe4W8McAnrURZeJlslG" TargetMode="External"/><Relationship Id="rId178" Type="http://schemas.openxmlformats.org/officeDocument/2006/relationships/hyperlink" Target="https://www.mercadolibre.com.co/ojos-movibles-para-manualidades-x100-con-pestana-12mm/up/MCOU3149277615" TargetMode="External"/><Relationship Id="rId61" Type="http://schemas.openxmlformats.org/officeDocument/2006/relationships/hyperlink" Target="https://www.homecenter.com.co/homecenter-co/product/707432/guillotina-metalica-tamano-a4-b5-a5-b6-b7-paper-cutter/707432/" TargetMode="External"/><Relationship Id="rId82" Type="http://schemas.openxmlformats.org/officeDocument/2006/relationships/hyperlink" Target="https://www.homecenter.com.co/homecenter-co/product/316507/flexometro-magnetico-3m-redline/316507/" TargetMode="External"/><Relationship Id="rId199" Type="http://schemas.openxmlformats.org/officeDocument/2006/relationships/hyperlink" Target="https://www.mercadolibre.com.co/diferentes-tamanos-pinceles-x12-cerdas-finas-plano-o-redondo/up/MCOU2415249705" TargetMode="External"/><Relationship Id="rId203" Type="http://schemas.openxmlformats.org/officeDocument/2006/relationships/hyperlink" Target="https://todoenartes.com/products/pintura-para-tela-30-ml-azul-primario-franco-arte?variant=42414043103310&amp;country=CO&amp;currency=COP&amp;utm_medium=product_sync&amp;utm_source=google&amp;utm_content=sag_organic&amp;utm_campaign=sag_organic&amp;srsltid=AfmBOoqK8QIAD4Y5yllUWuenSY9FkfwpEnjNEJV4MWVEG4rcNbKE7EXR2XM" TargetMode="External"/><Relationship Id="rId19" Type="http://schemas.openxmlformats.org/officeDocument/2006/relationships/hyperlink" Target="https://garabatospapeleria.com/productos/block-finlandes-mantequilla-1-8-41-gr-40h-canson-usmrf/?srsltid=AfmBOorbaWZHNmYuVCFzfwLMzf4EYnanVBlIBfU7QIIp3MAZNQpmeIxN" TargetMode="External"/><Relationship Id="rId224" Type="http://schemas.openxmlformats.org/officeDocument/2006/relationships/hyperlink" Target="https://hotmart.com/es/marketplace/productos/i-poker-c/F77120207F" TargetMode="External"/><Relationship Id="rId30" Type="http://schemas.openxmlformats.org/officeDocument/2006/relationships/hyperlink" Target="https://tumerch.co/products/bolsa-plana-bicolor-30x40?pr_prod_strat=e5_desc&amp;pr_rec_id=2f18f9ac6&amp;pr_rec_pid=10068672741508&amp;pr_ref_pid=10068672446596&amp;pr_seq=uniform" TargetMode="External"/><Relationship Id="rId105" Type="http://schemas.openxmlformats.org/officeDocument/2006/relationships/hyperlink" Target="https://www.amazon.com/-/es/Paycheck-Billionaire-Financial-inteligente-inversi%C3%B3n/dp/B0D5LD5R7R?th=1" TargetMode="External"/><Relationship Id="rId126" Type="http://schemas.openxmlformats.org/officeDocument/2006/relationships/hyperlink" Target="https://www.medellincolombia.com.co/product-page/lapicero-bambu-touch-891" TargetMode="External"/><Relationship Id="rId147" Type="http://schemas.openxmlformats.org/officeDocument/2006/relationships/hyperlink" Target="https://www.mercadolibre.com.co/pilas-a76-lr44-ag13-gp-alcalina-x10-unidades-boton-15v/up/MCOU2414244733?matt_tool=19390127&amp;utm_source=google_shopping&amp;utm_medium=organic&amp;pdp_filters=item_id%3AMCO1508074176&amp;from=gshop" TargetMode="External"/><Relationship Id="rId168" Type="http://schemas.openxmlformats.org/officeDocument/2006/relationships/hyperlink" Target="https://www.falabella.com.co/falabella-co/product/122877973/Sacapuntas-tajalapiz-electrico-automatico-+-Pilas-AA/122877975" TargetMode="External"/><Relationship Id="rId51" Type="http://schemas.openxmlformats.org/officeDocument/2006/relationships/hyperlink" Target="https://www.bolsasyempaquescolombia.com/products/cinta-enmascarar-1-pulgada-x-40-mts?variant=48119914299702&amp;country=CO&amp;currency=COP&amp;utm_medium=product_sync&amp;utm_source=google&amp;utm_content=sag_organic&amp;utm_campaign=sag_organic&amp;srsltid=AfmBOoqL73piIJHQPkH9otn4g8YuUkRSmGeLhcY3Zc7tkBOivO67o2McLK8" TargetMode="External"/><Relationship Id="rId72" Type="http://schemas.openxmlformats.org/officeDocument/2006/relationships/hyperlink" Target="https://tauro.com.co/producto/curvigrafo-x3-faber-castell/" TargetMode="External"/><Relationship Id="rId93" Type="http://schemas.openxmlformats.org/officeDocument/2006/relationships/hyperlink" Target="https://leadertools.co/products/the-leaders-toolkit?srsltid=AfmBOookFFhROnoE6N7MNm8uLERCcQuo6rSI_WuBofTc-FaoLCBteUqI" TargetMode="External"/><Relationship Id="rId189" Type="http://schemas.openxmlformats.org/officeDocument/2006/relationships/hyperlink" Target="https://insublitex.com.co/papel-para-sublimacion/44-papel-premium-rosado-para-sublimacion.html" TargetMode="Externa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6.bin"/><Relationship Id="rId3" Type="http://schemas.openxmlformats.org/officeDocument/2006/relationships/hyperlink" Target="https://sportfitness.co/products/mesa-plegable-16mm-tenis-mesa?_pos=2&amp;_psq=mesa-de-ping&amp;_ss=e&amp;_v=1.0" TargetMode="External"/><Relationship Id="rId7" Type="http://schemas.openxmlformats.org/officeDocument/2006/relationships/hyperlink" Target="https://sportfitness.co/products/cronometro-deportivo-plus-sportfitness" TargetMode="External"/><Relationship Id="rId2" Type="http://schemas.openxmlformats.org/officeDocument/2006/relationships/hyperlink" Target="https://sportfitness.co/products/cronometro-deportivo-plus-sportfitness" TargetMode="External"/><Relationship Id="rId1" Type="http://schemas.openxmlformats.org/officeDocument/2006/relationships/hyperlink" Target="https://articulo.mercadolibre.com.co/MCO-3731978052-juego-grupal-interactivo-de-trabajo-en-equipo-hole-tarp-para-_JM" TargetMode="External"/><Relationship Id="rId6" Type="http://schemas.openxmlformats.org/officeDocument/2006/relationships/hyperlink" Target="https://articulo.mercadolibre.com.co/MCO-3731978052-juego-grupal-interactivo-de-trabajo-en-equipo-hole-tarp-para-_JM" TargetMode="External"/><Relationship Id="rId5" Type="http://schemas.openxmlformats.org/officeDocument/2006/relationships/hyperlink" Target="https://www.mercadolibre.com.co/apuntador-luz-roja-control-remoto-presentador-pro-slim/up/MCOU2985288735" TargetMode="External"/><Relationship Id="rId10" Type="http://schemas.openxmlformats.org/officeDocument/2006/relationships/comments" Target="../comments7.xml"/><Relationship Id="rId4" Type="http://schemas.openxmlformats.org/officeDocument/2006/relationships/hyperlink" Target="https://www.mercadolibre.com.co/dispositivo-de-medicion-de-grasa-corporal-monitor-de-grasa/up/MCOU2411386713" TargetMode="External"/><Relationship Id="rId9"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7EF1F-25E2-4AB0-88E1-7E1FF44B75C0}">
  <dimension ref="A1:V490"/>
  <sheetViews>
    <sheetView tabSelected="1" zoomScale="84" zoomScaleNormal="70" workbookViewId="0">
      <pane xSplit="3" ySplit="4" topLeftCell="D5" activePane="bottomRight" state="frozen"/>
      <selection pane="topRight" activeCell="D1" sqref="D1"/>
      <selection pane="bottomLeft" activeCell="A5" sqref="A5"/>
      <selection pane="bottomRight" activeCell="U492" sqref="U492"/>
    </sheetView>
  </sheetViews>
  <sheetFormatPr baseColWidth="10" defaultColWidth="11.44140625" defaultRowHeight="14.4" outlineLevelCol="1" x14ac:dyDescent="0.3"/>
  <cols>
    <col min="1" max="1" width="7.44140625" style="2" customWidth="1"/>
    <col min="2" max="2" width="11" style="2" customWidth="1"/>
    <col min="3" max="3" width="24" style="2" customWidth="1"/>
    <col min="4" max="4" width="29.88671875" style="2" customWidth="1"/>
    <col min="5" max="5" width="12.33203125" style="2" customWidth="1"/>
    <col min="6" max="6" width="12.5546875" style="2" customWidth="1"/>
    <col min="7" max="7" width="11.44140625" style="2" customWidth="1"/>
    <col min="8" max="8" width="20.5546875" style="2" customWidth="1" outlineLevel="1"/>
    <col min="9" max="9" width="13" style="1" customWidth="1" outlineLevel="1"/>
    <col min="10" max="10" width="11.44140625" style="2" customWidth="1" outlineLevel="1"/>
    <col min="11" max="11" width="15.6640625" style="1" customWidth="1" outlineLevel="1"/>
    <col min="12" max="12" width="15.88671875" style="3" customWidth="1" outlineLevel="1"/>
    <col min="13" max="13" width="17.88671875" style="4" customWidth="1"/>
    <col min="14" max="14" width="20.33203125" style="4" customWidth="1"/>
    <col min="15" max="15" width="19.6640625" style="4" customWidth="1"/>
    <col min="16" max="16" width="17.88671875" style="3" customWidth="1"/>
    <col min="17" max="17" width="17.88671875" style="4" customWidth="1"/>
    <col min="18" max="18" width="17.88671875" style="3" customWidth="1"/>
    <col min="19" max="19" width="17" style="2" customWidth="1"/>
    <col min="20" max="20" width="22.109375" style="2" customWidth="1"/>
    <col min="21" max="21" width="21.88671875" style="2" customWidth="1"/>
    <col min="22" max="22" width="28.33203125" style="2" customWidth="1"/>
    <col min="23" max="16384" width="11.44140625" style="2"/>
  </cols>
  <sheetData>
    <row r="1" spans="1:22" ht="20.25" customHeight="1" x14ac:dyDescent="0.3">
      <c r="A1" s="581" t="s">
        <v>642</v>
      </c>
      <c r="B1" s="582"/>
      <c r="C1" s="585" t="s">
        <v>643</v>
      </c>
      <c r="D1" s="586"/>
      <c r="E1" s="586"/>
      <c r="F1" s="586"/>
      <c r="G1" s="587"/>
      <c r="H1" s="591" t="s">
        <v>2002</v>
      </c>
      <c r="I1" s="591"/>
      <c r="J1" s="591"/>
      <c r="K1" s="591"/>
      <c r="L1" s="592"/>
      <c r="M1" s="593" t="s">
        <v>645</v>
      </c>
      <c r="N1" s="594"/>
      <c r="O1" s="594"/>
      <c r="P1" s="594"/>
      <c r="Q1" s="594"/>
      <c r="R1" s="594"/>
      <c r="S1" s="597" t="s">
        <v>2003</v>
      </c>
      <c r="T1" s="599">
        <f>COUNTA(A5:A477)</f>
        <v>224</v>
      </c>
      <c r="U1" s="572" t="s">
        <v>646</v>
      </c>
      <c r="V1" s="574">
        <f>SUM(U5:U253)</f>
        <v>5367507.3883333337</v>
      </c>
    </row>
    <row r="2" spans="1:22" ht="19.5" customHeight="1" x14ac:dyDescent="0.3">
      <c r="A2" s="583"/>
      <c r="B2" s="584"/>
      <c r="C2" s="588"/>
      <c r="D2" s="589"/>
      <c r="E2" s="589"/>
      <c r="F2" s="589"/>
      <c r="G2" s="590"/>
      <c r="H2" s="591"/>
      <c r="I2" s="591"/>
      <c r="J2" s="591"/>
      <c r="K2" s="591"/>
      <c r="L2" s="592"/>
      <c r="M2" s="595"/>
      <c r="N2" s="596"/>
      <c r="O2" s="596"/>
      <c r="P2" s="596"/>
      <c r="Q2" s="596"/>
      <c r="R2" s="596"/>
      <c r="S2" s="598"/>
      <c r="T2" s="600"/>
      <c r="U2" s="573"/>
      <c r="V2" s="575"/>
    </row>
    <row r="3" spans="1:22" ht="15" customHeight="1" x14ac:dyDescent="0.3">
      <c r="A3" s="576" t="s">
        <v>3</v>
      </c>
      <c r="B3" s="576" t="s">
        <v>4</v>
      </c>
      <c r="C3" s="576" t="s">
        <v>5</v>
      </c>
      <c r="D3" s="576" t="s">
        <v>6</v>
      </c>
      <c r="E3" s="577" t="s">
        <v>648</v>
      </c>
      <c r="F3" s="578" t="s">
        <v>780</v>
      </c>
      <c r="G3" s="579" t="s">
        <v>9</v>
      </c>
      <c r="H3" s="580" t="s">
        <v>10</v>
      </c>
      <c r="I3" s="566" t="s">
        <v>11</v>
      </c>
      <c r="J3" s="567" t="s">
        <v>12</v>
      </c>
      <c r="K3" s="569" t="s">
        <v>650</v>
      </c>
      <c r="L3" s="570" t="s">
        <v>651</v>
      </c>
      <c r="M3" s="571" t="s">
        <v>15</v>
      </c>
      <c r="N3" s="365" t="s">
        <v>16</v>
      </c>
      <c r="O3" s="559" t="s">
        <v>17</v>
      </c>
      <c r="P3" s="560" t="s">
        <v>18</v>
      </c>
      <c r="Q3" s="366" t="s">
        <v>19</v>
      </c>
      <c r="R3" s="562" t="s">
        <v>20</v>
      </c>
      <c r="S3" s="564" t="s">
        <v>21</v>
      </c>
      <c r="T3" s="565" t="s">
        <v>22</v>
      </c>
      <c r="U3" s="601" t="s">
        <v>23</v>
      </c>
      <c r="V3" s="565" t="s">
        <v>652</v>
      </c>
    </row>
    <row r="4" spans="1:22" ht="69" customHeight="1" x14ac:dyDescent="0.3">
      <c r="A4" s="576"/>
      <c r="B4" s="576"/>
      <c r="C4" s="576"/>
      <c r="D4" s="576"/>
      <c r="E4" s="577"/>
      <c r="F4" s="578"/>
      <c r="G4" s="579"/>
      <c r="H4" s="580"/>
      <c r="I4" s="566"/>
      <c r="J4" s="568"/>
      <c r="K4" s="569"/>
      <c r="L4" s="570"/>
      <c r="M4" s="571"/>
      <c r="N4" s="365"/>
      <c r="O4" s="559"/>
      <c r="P4" s="560"/>
      <c r="Q4" s="561"/>
      <c r="R4" s="563"/>
      <c r="S4" s="564"/>
      <c r="T4" s="565"/>
      <c r="U4" s="601"/>
      <c r="V4" s="565"/>
    </row>
    <row r="5" spans="1:22" ht="45" customHeight="1" x14ac:dyDescent="0.3">
      <c r="A5" s="389">
        <v>1</v>
      </c>
      <c r="B5" s="557">
        <v>11162300</v>
      </c>
      <c r="C5" s="430" t="s">
        <v>24</v>
      </c>
      <c r="D5" s="517" t="s">
        <v>2004</v>
      </c>
      <c r="E5" s="507" t="s">
        <v>25</v>
      </c>
      <c r="F5" s="434" t="s">
        <v>26</v>
      </c>
      <c r="G5" s="149">
        <v>1</v>
      </c>
      <c r="H5" s="24" t="s">
        <v>27</v>
      </c>
      <c r="I5" s="22">
        <f>IFERROR(K5/((100+J5)/100),"")</f>
        <v>1290</v>
      </c>
      <c r="J5" s="23">
        <f>IF(K5="","",(K5-(K5/1.19))/(K5/1.19)*100)</f>
        <v>18.999999999999993</v>
      </c>
      <c r="K5" s="169">
        <v>1535.1</v>
      </c>
      <c r="L5" s="5">
        <f>IF(I5="","",(K5)*G5)</f>
        <v>1535.1</v>
      </c>
      <c r="M5" s="411">
        <f>IFERROR(AVERAGE(L5:L6),"")</f>
        <v>2325.2600000000002</v>
      </c>
      <c r="N5" s="411">
        <f>IFERROR(HARMEAN(L5:L6),"")</f>
        <v>2056.7511770726715</v>
      </c>
      <c r="O5" s="411">
        <f>IFERROR(MEDIAN(L5:L6),"")</f>
        <v>2325.2600000000002</v>
      </c>
      <c r="P5" s="86">
        <f t="shared" ref="P5:P68" si="0">IF(L5="","",L5)</f>
        <v>1535.1</v>
      </c>
      <c r="Q5" s="413">
        <f>IFERROR(SUM(P5:P6)/COUNTA(K5:K6),"")</f>
        <v>2325.2600000000002</v>
      </c>
      <c r="R5" s="411">
        <f>IFERROR(_xlfn.STDEV.S(L5:L6),"")</f>
        <v>1117.454988444724</v>
      </c>
      <c r="S5" s="415">
        <f>IFERROR(R5/M5,"")</f>
        <v>0.48057206008993569</v>
      </c>
      <c r="T5" s="417" t="s">
        <v>2005</v>
      </c>
      <c r="U5" s="407">
        <f>M5</f>
        <v>2325.2600000000002</v>
      </c>
      <c r="V5" s="503" t="e" vm="1">
        <v>#VALUE!</v>
      </c>
    </row>
    <row r="6" spans="1:22" ht="45" customHeight="1" x14ac:dyDescent="0.3">
      <c r="A6" s="390"/>
      <c r="B6" s="557"/>
      <c r="C6" s="431"/>
      <c r="D6" s="558"/>
      <c r="E6" s="507"/>
      <c r="F6" s="434"/>
      <c r="G6" s="149">
        <f>G5</f>
        <v>1</v>
      </c>
      <c r="H6" s="53" t="s">
        <v>28</v>
      </c>
      <c r="I6" s="22">
        <f t="shared" ref="I6:I69" si="1">IFERROR(K6/((100+J6)/100),"")</f>
        <v>2618</v>
      </c>
      <c r="J6" s="23">
        <f t="shared" ref="J6:J69" si="2">IF(K6="","",(K6-(K6/1.19))/(K6/1.19)*100)</f>
        <v>19.000000000000004</v>
      </c>
      <c r="K6" s="169">
        <v>3115.42</v>
      </c>
      <c r="L6" s="5">
        <f t="shared" ref="L6:L69" si="3">IF(I6="","",(K6)*G6)</f>
        <v>3115.42</v>
      </c>
      <c r="M6" s="412"/>
      <c r="N6" s="412"/>
      <c r="O6" s="412"/>
      <c r="P6" s="86">
        <f t="shared" si="0"/>
        <v>3115.42</v>
      </c>
      <c r="Q6" s="414"/>
      <c r="R6" s="412"/>
      <c r="S6" s="416"/>
      <c r="T6" s="418"/>
      <c r="U6" s="408"/>
      <c r="V6" s="504"/>
    </row>
    <row r="7" spans="1:22" ht="45" customHeight="1" x14ac:dyDescent="0.3">
      <c r="A7" s="496">
        <v>2</v>
      </c>
      <c r="B7" s="557">
        <v>11162306</v>
      </c>
      <c r="C7" s="558" t="s">
        <v>29</v>
      </c>
      <c r="D7" s="517" t="s">
        <v>2006</v>
      </c>
      <c r="E7" s="507" t="s">
        <v>25</v>
      </c>
      <c r="F7" s="434" t="s">
        <v>26</v>
      </c>
      <c r="G7" s="149">
        <v>1</v>
      </c>
      <c r="H7" s="24" t="s">
        <v>27</v>
      </c>
      <c r="I7" s="22">
        <f t="shared" si="1"/>
        <v>985.00000000000011</v>
      </c>
      <c r="J7" s="23">
        <f t="shared" si="2"/>
        <v>18.999999999999993</v>
      </c>
      <c r="K7" s="169">
        <v>1172.1500000000001</v>
      </c>
      <c r="L7" s="5">
        <f t="shared" si="3"/>
        <v>1172.1500000000001</v>
      </c>
      <c r="M7" s="411">
        <f>IFERROR(AVERAGE(L7:L8),"")</f>
        <v>1081.71</v>
      </c>
      <c r="N7" s="411">
        <f>IFERROR(HARMEAN(L7:L8),"")</f>
        <v>1074.1484598459847</v>
      </c>
      <c r="O7" s="411">
        <f>IFERROR(MEDIAN(L7:L8),"")</f>
        <v>1081.71</v>
      </c>
      <c r="P7" s="86">
        <f t="shared" si="0"/>
        <v>1172.1500000000001</v>
      </c>
      <c r="Q7" s="413">
        <f>IFERROR(SUM(P7:P8)/COUNTA(K7:K8),"")</f>
        <v>1081.71</v>
      </c>
      <c r="R7" s="411">
        <f>IFERROR(_xlfn.STDEV.S(L7:L8),"")</f>
        <v>127.9014745810228</v>
      </c>
      <c r="S7" s="415">
        <f>IFERROR(R7/M7,"")</f>
        <v>0.11824007782217304</v>
      </c>
      <c r="T7" s="417" t="s">
        <v>2005</v>
      </c>
      <c r="U7" s="407">
        <f t="shared" ref="U7" si="4">M7</f>
        <v>1081.71</v>
      </c>
      <c r="V7" s="503" t="e" vm="2">
        <v>#VALUE!</v>
      </c>
    </row>
    <row r="8" spans="1:22" ht="45" customHeight="1" x14ac:dyDescent="0.3">
      <c r="A8" s="496"/>
      <c r="B8" s="557"/>
      <c r="C8" s="558"/>
      <c r="D8" s="558"/>
      <c r="E8" s="507"/>
      <c r="F8" s="434"/>
      <c r="G8" s="149">
        <f t="shared" ref="G8" si="5">G7</f>
        <v>1</v>
      </c>
      <c r="H8" s="53" t="s">
        <v>30</v>
      </c>
      <c r="I8" s="22">
        <f t="shared" si="1"/>
        <v>833</v>
      </c>
      <c r="J8" s="23">
        <f t="shared" si="2"/>
        <v>18.999999999999996</v>
      </c>
      <c r="K8" s="169">
        <v>991.27</v>
      </c>
      <c r="L8" s="5">
        <f t="shared" si="3"/>
        <v>991.27</v>
      </c>
      <c r="M8" s="412"/>
      <c r="N8" s="412"/>
      <c r="O8" s="412"/>
      <c r="P8" s="86">
        <f t="shared" si="0"/>
        <v>991.27</v>
      </c>
      <c r="Q8" s="414"/>
      <c r="R8" s="412"/>
      <c r="S8" s="416"/>
      <c r="T8" s="418"/>
      <c r="U8" s="408"/>
      <c r="V8" s="504"/>
    </row>
    <row r="9" spans="1:22" ht="45" customHeight="1" x14ac:dyDescent="0.3">
      <c r="A9" s="556">
        <v>3</v>
      </c>
      <c r="B9" s="557">
        <v>11162306</v>
      </c>
      <c r="C9" s="558" t="s">
        <v>31</v>
      </c>
      <c r="D9" s="517" t="s">
        <v>2007</v>
      </c>
      <c r="E9" s="507" t="s">
        <v>25</v>
      </c>
      <c r="F9" s="434" t="s">
        <v>26</v>
      </c>
      <c r="G9" s="149">
        <v>1</v>
      </c>
      <c r="H9" s="53" t="s">
        <v>32</v>
      </c>
      <c r="I9" s="22">
        <f t="shared" si="1"/>
        <v>450.42016806722694</v>
      </c>
      <c r="J9" s="23">
        <f t="shared" si="2"/>
        <v>18.999999999999986</v>
      </c>
      <c r="K9" s="169">
        <v>536</v>
      </c>
      <c r="L9" s="5">
        <f t="shared" si="3"/>
        <v>536</v>
      </c>
      <c r="M9" s="411">
        <f>IFERROR(AVERAGE(L9:L10),"")</f>
        <v>536</v>
      </c>
      <c r="N9" s="411">
        <f>IFERROR(HARMEAN(L9:L10),"")</f>
        <v>536</v>
      </c>
      <c r="O9" s="411">
        <f>IFERROR(MEDIAN(L9:L10),"")</f>
        <v>536</v>
      </c>
      <c r="P9" s="86">
        <f t="shared" si="0"/>
        <v>536</v>
      </c>
      <c r="Q9" s="413">
        <f>IFERROR(SUM(P9:P10)/COUNTA(K9:K10),"")</f>
        <v>536</v>
      </c>
      <c r="R9" s="411" t="str">
        <f>IFERROR(_xlfn.STDEV.S(L9:L10),"")</f>
        <v/>
      </c>
      <c r="S9" s="415" t="str">
        <f>IFERROR(R9/M9,"")</f>
        <v/>
      </c>
      <c r="T9" s="417" t="s">
        <v>2005</v>
      </c>
      <c r="U9" s="407">
        <f t="shared" ref="U9:U13" si="6">M9</f>
        <v>536</v>
      </c>
      <c r="V9" s="503" t="e" vm="3">
        <v>#VALUE!</v>
      </c>
    </row>
    <row r="10" spans="1:22" ht="45" customHeight="1" x14ac:dyDescent="0.3">
      <c r="A10" s="556"/>
      <c r="B10" s="557"/>
      <c r="C10" s="558"/>
      <c r="D10" s="558"/>
      <c r="E10" s="507"/>
      <c r="F10" s="434"/>
      <c r="G10" s="149">
        <f t="shared" ref="G10" si="7">G9</f>
        <v>1</v>
      </c>
      <c r="H10" s="53"/>
      <c r="I10" s="22" t="str">
        <f t="shared" si="1"/>
        <v/>
      </c>
      <c r="J10" s="23" t="str">
        <f t="shared" si="2"/>
        <v/>
      </c>
      <c r="K10" s="169"/>
      <c r="L10" s="5" t="str">
        <f t="shared" si="3"/>
        <v/>
      </c>
      <c r="M10" s="412"/>
      <c r="N10" s="412"/>
      <c r="O10" s="412"/>
      <c r="P10" s="86" t="str">
        <f t="shared" si="0"/>
        <v/>
      </c>
      <c r="Q10" s="414"/>
      <c r="R10" s="412"/>
      <c r="S10" s="416"/>
      <c r="T10" s="418"/>
      <c r="U10" s="408"/>
      <c r="V10" s="504"/>
    </row>
    <row r="11" spans="1:22" ht="45" customHeight="1" x14ac:dyDescent="0.3">
      <c r="A11" s="496">
        <v>4</v>
      </c>
      <c r="B11" s="505">
        <v>11131508</v>
      </c>
      <c r="C11" s="506" t="s">
        <v>33</v>
      </c>
      <c r="D11" s="548" t="s">
        <v>2008</v>
      </c>
      <c r="E11" s="507" t="s">
        <v>25</v>
      </c>
      <c r="F11" s="434" t="s">
        <v>26</v>
      </c>
      <c r="G11" s="149">
        <v>1</v>
      </c>
      <c r="H11" s="24" t="s">
        <v>27</v>
      </c>
      <c r="I11" s="22">
        <f t="shared" si="1"/>
        <v>2600</v>
      </c>
      <c r="J11" s="23">
        <f t="shared" si="2"/>
        <v>19</v>
      </c>
      <c r="K11" s="169">
        <v>3094</v>
      </c>
      <c r="L11" s="5">
        <f t="shared" si="3"/>
        <v>3094</v>
      </c>
      <c r="M11" s="411">
        <f t="shared" ref="M11" si="8">IFERROR(AVERAGE(L11:L12),"")</f>
        <v>3671.15</v>
      </c>
      <c r="N11" s="411">
        <f>IFERROR(HARMEAN(L11:L12),"")</f>
        <v>3580.414910858995</v>
      </c>
      <c r="O11" s="411">
        <f>IFERROR(MEDIAN(L11:L12),"")</f>
        <v>3671.15</v>
      </c>
      <c r="P11" s="86">
        <f t="shared" si="0"/>
        <v>3094</v>
      </c>
      <c r="Q11" s="413">
        <f>IFERROR(SUM(P11:P12)/COUNTA(K11:K12),"")</f>
        <v>3671.15</v>
      </c>
      <c r="R11" s="411">
        <f>IFERROR(_xlfn.STDEV.S(L11:L12),"")</f>
        <v>816.21335752363245</v>
      </c>
      <c r="S11" s="415">
        <f>IFERROR(R11/M11,"")</f>
        <v>0.22233179181554347</v>
      </c>
      <c r="T11" s="417" t="s">
        <v>2005</v>
      </c>
      <c r="U11" s="407">
        <f t="shared" si="6"/>
        <v>3671.15</v>
      </c>
      <c r="V11" s="503" t="e" vm="4">
        <v>#VALUE!</v>
      </c>
    </row>
    <row r="12" spans="1:22" ht="45" customHeight="1" x14ac:dyDescent="0.3">
      <c r="A12" s="496"/>
      <c r="B12" s="505"/>
      <c r="C12" s="506"/>
      <c r="D12" s="506"/>
      <c r="E12" s="507"/>
      <c r="F12" s="434"/>
      <c r="G12" s="149">
        <f t="shared" ref="G12" si="9">G11</f>
        <v>1</v>
      </c>
      <c r="H12" s="53" t="s">
        <v>30</v>
      </c>
      <c r="I12" s="22">
        <f t="shared" si="1"/>
        <v>3570.0000000000005</v>
      </c>
      <c r="J12" s="23">
        <f t="shared" si="2"/>
        <v>18.999999999999989</v>
      </c>
      <c r="K12" s="169">
        <v>4248.3</v>
      </c>
      <c r="L12" s="5">
        <f t="shared" si="3"/>
        <v>4248.3</v>
      </c>
      <c r="M12" s="412"/>
      <c r="N12" s="412"/>
      <c r="O12" s="412"/>
      <c r="P12" s="86">
        <f t="shared" si="0"/>
        <v>4248.3</v>
      </c>
      <c r="Q12" s="414"/>
      <c r="R12" s="412"/>
      <c r="S12" s="416"/>
      <c r="T12" s="418"/>
      <c r="U12" s="408"/>
      <c r="V12" s="504"/>
    </row>
    <row r="13" spans="1:22" ht="45" customHeight="1" x14ac:dyDescent="0.3">
      <c r="A13" s="496">
        <v>5</v>
      </c>
      <c r="B13" s="505">
        <v>11162300</v>
      </c>
      <c r="C13" s="506" t="s">
        <v>34</v>
      </c>
      <c r="D13" s="548" t="s">
        <v>2009</v>
      </c>
      <c r="E13" s="507" t="s">
        <v>25</v>
      </c>
      <c r="F13" s="434" t="s">
        <v>26</v>
      </c>
      <c r="G13" s="149">
        <v>1</v>
      </c>
      <c r="H13" s="24" t="s">
        <v>27</v>
      </c>
      <c r="I13" s="22">
        <f t="shared" si="1"/>
        <v>1290</v>
      </c>
      <c r="J13" s="23">
        <f t="shared" si="2"/>
        <v>18.999999999999993</v>
      </c>
      <c r="K13" s="169">
        <v>1535.1</v>
      </c>
      <c r="L13" s="5">
        <f t="shared" si="3"/>
        <v>1535.1</v>
      </c>
      <c r="M13" s="411">
        <f t="shared" ref="M13" si="10">IFERROR(AVERAGE(L13:L14),"")</f>
        <v>1298.885</v>
      </c>
      <c r="N13" s="411">
        <f>IFERROR(HARMEAN(L13:L14),"")</f>
        <v>1255.9269812185066</v>
      </c>
      <c r="O13" s="411">
        <f>IFERROR(MEDIAN(L13:L14),"")</f>
        <v>1298.885</v>
      </c>
      <c r="P13" s="86">
        <f t="shared" si="0"/>
        <v>1535.1</v>
      </c>
      <c r="Q13" s="413">
        <f>IFERROR(SUM(P13:P14)/COUNTA(K13:K14),"")</f>
        <v>1298.885</v>
      </c>
      <c r="R13" s="411">
        <f>IFERROR(_xlfn.STDEV.S(L13:L14),"")</f>
        <v>334.05845663596114</v>
      </c>
      <c r="S13" s="415">
        <f>IFERROR(R13/M13,"")</f>
        <v>0.25718863227765443</v>
      </c>
      <c r="T13" s="417" t="s">
        <v>2005</v>
      </c>
      <c r="U13" s="407">
        <f t="shared" si="6"/>
        <v>1298.885</v>
      </c>
      <c r="V13" s="503" t="e" vm="5">
        <v>#VALUE!</v>
      </c>
    </row>
    <row r="14" spans="1:22" ht="45" customHeight="1" x14ac:dyDescent="0.3">
      <c r="A14" s="496"/>
      <c r="B14" s="505"/>
      <c r="C14" s="506"/>
      <c r="D14" s="506"/>
      <c r="E14" s="507"/>
      <c r="F14" s="434"/>
      <c r="G14" s="149">
        <f t="shared" ref="G14" si="11">G13</f>
        <v>1</v>
      </c>
      <c r="H14" s="53" t="s">
        <v>30</v>
      </c>
      <c r="I14" s="22">
        <f t="shared" si="1"/>
        <v>893.00000000000011</v>
      </c>
      <c r="J14" s="23">
        <f t="shared" si="2"/>
        <v>18.999999999999993</v>
      </c>
      <c r="K14" s="169">
        <v>1062.67</v>
      </c>
      <c r="L14" s="5">
        <f t="shared" si="3"/>
        <v>1062.67</v>
      </c>
      <c r="M14" s="412"/>
      <c r="N14" s="412"/>
      <c r="O14" s="412"/>
      <c r="P14" s="86">
        <f t="shared" si="0"/>
        <v>1062.67</v>
      </c>
      <c r="Q14" s="414"/>
      <c r="R14" s="412"/>
      <c r="S14" s="416"/>
      <c r="T14" s="418"/>
      <c r="U14" s="408"/>
      <c r="V14" s="504"/>
    </row>
    <row r="15" spans="1:22" ht="45" customHeight="1" x14ac:dyDescent="0.3">
      <c r="A15" s="496">
        <v>6</v>
      </c>
      <c r="B15" s="505">
        <v>11131508</v>
      </c>
      <c r="C15" s="506" t="s">
        <v>35</v>
      </c>
      <c r="D15" s="555" t="s">
        <v>2009</v>
      </c>
      <c r="E15" s="507" t="s">
        <v>25</v>
      </c>
      <c r="F15" s="434" t="s">
        <v>26</v>
      </c>
      <c r="G15" s="149">
        <v>1</v>
      </c>
      <c r="H15" s="24" t="s">
        <v>27</v>
      </c>
      <c r="I15" s="22">
        <f t="shared" si="1"/>
        <v>1390</v>
      </c>
      <c r="J15" s="23">
        <f t="shared" si="2"/>
        <v>18.999999999999993</v>
      </c>
      <c r="K15" s="169">
        <v>1654.1</v>
      </c>
      <c r="L15" s="5">
        <f t="shared" si="3"/>
        <v>1654.1</v>
      </c>
      <c r="M15" s="411">
        <f t="shared" ref="M15" si="12">IFERROR(AVERAGE(L15:L16),"")</f>
        <v>1350.0549999999998</v>
      </c>
      <c r="N15" s="411">
        <f>IFERROR(HARMEAN(L15:L16),"")</f>
        <v>1281.5812252093433</v>
      </c>
      <c r="O15" s="411">
        <f>IFERROR(MEDIAN(L15:L16),"")</f>
        <v>1350.0549999999998</v>
      </c>
      <c r="P15" s="86">
        <f t="shared" si="0"/>
        <v>1654.1</v>
      </c>
      <c r="Q15" s="413">
        <f>IFERROR(SUM(P15:P16)/COUNTA(K15:K16),"")</f>
        <v>1350.0549999999998</v>
      </c>
      <c r="R15" s="411">
        <f>IFERROR(_xlfn.STDEV.S(L15:L16),"")</f>
        <v>429.98456257172802</v>
      </c>
      <c r="S15" s="415">
        <f>IFERROR(R15/M15,"")</f>
        <v>0.31849410770059594</v>
      </c>
      <c r="T15" s="417" t="s">
        <v>2005</v>
      </c>
      <c r="U15" s="407">
        <f>M15</f>
        <v>1350.0549999999998</v>
      </c>
      <c r="V15" s="503" t="e" vm="6">
        <v>#VALUE!</v>
      </c>
    </row>
    <row r="16" spans="1:22" ht="45" customHeight="1" x14ac:dyDescent="0.3">
      <c r="A16" s="496"/>
      <c r="B16" s="505"/>
      <c r="C16" s="506"/>
      <c r="D16" s="501"/>
      <c r="E16" s="507"/>
      <c r="F16" s="434"/>
      <c r="G16" s="149">
        <v>1</v>
      </c>
      <c r="H16" s="53" t="s">
        <v>30</v>
      </c>
      <c r="I16" s="22">
        <f t="shared" si="1"/>
        <v>879</v>
      </c>
      <c r="J16" s="23">
        <f t="shared" si="2"/>
        <v>19</v>
      </c>
      <c r="K16" s="169">
        <v>1046.01</v>
      </c>
      <c r="L16" s="5">
        <f t="shared" si="3"/>
        <v>1046.01</v>
      </c>
      <c r="M16" s="412"/>
      <c r="N16" s="412"/>
      <c r="O16" s="412"/>
      <c r="P16" s="86">
        <f t="shared" si="0"/>
        <v>1046.01</v>
      </c>
      <c r="Q16" s="414"/>
      <c r="R16" s="412"/>
      <c r="S16" s="416"/>
      <c r="T16" s="418"/>
      <c r="U16" s="408"/>
      <c r="V16" s="504"/>
    </row>
    <row r="17" spans="1:22" ht="45" customHeight="1" x14ac:dyDescent="0.3">
      <c r="A17" s="496">
        <v>7</v>
      </c>
      <c r="B17" s="505">
        <v>11162305</v>
      </c>
      <c r="C17" s="506" t="s">
        <v>36</v>
      </c>
      <c r="D17" s="555" t="s">
        <v>2010</v>
      </c>
      <c r="E17" s="507" t="s">
        <v>25</v>
      </c>
      <c r="F17" s="434" t="s">
        <v>26</v>
      </c>
      <c r="G17" s="149">
        <v>1</v>
      </c>
      <c r="H17" s="24" t="s">
        <v>37</v>
      </c>
      <c r="I17" s="22">
        <f t="shared" si="1"/>
        <v>890</v>
      </c>
      <c r="J17" s="23">
        <f t="shared" si="2"/>
        <v>18.999999999999989</v>
      </c>
      <c r="K17" s="169">
        <v>1059.0999999999999</v>
      </c>
      <c r="L17" s="5">
        <f t="shared" si="3"/>
        <v>1059.0999999999999</v>
      </c>
      <c r="M17" s="411">
        <f t="shared" ref="M17" si="13">IFERROR(AVERAGE(L17:L18),"")</f>
        <v>990.07999999999993</v>
      </c>
      <c r="N17" s="411">
        <f>IFERROR(HARMEAN(L17:L18),"")</f>
        <v>985.26850961538457</v>
      </c>
      <c r="O17" s="411">
        <f>IFERROR(MEDIAN(L17:L18),"")</f>
        <v>990.07999999999993</v>
      </c>
      <c r="P17" s="86">
        <f t="shared" si="0"/>
        <v>1059.0999999999999</v>
      </c>
      <c r="Q17" s="413">
        <f>IFERROR(SUM(P17:P18)/COUNTA(K17:K18),"")</f>
        <v>990.07999999999993</v>
      </c>
      <c r="R17" s="411">
        <f>IFERROR(_xlfn.STDEV.S(L17:L18),"")</f>
        <v>97.609020074990994</v>
      </c>
      <c r="S17" s="415">
        <f>IFERROR(R17/M17,"")</f>
        <v>9.8587003146201321E-2</v>
      </c>
      <c r="T17" s="417" t="s">
        <v>2005</v>
      </c>
      <c r="U17" s="407">
        <f>M17</f>
        <v>990.07999999999993</v>
      </c>
      <c r="V17" s="516" t="e" vm="7">
        <v>#VALUE!</v>
      </c>
    </row>
    <row r="18" spans="1:22" ht="45" customHeight="1" x14ac:dyDescent="0.3">
      <c r="A18" s="496"/>
      <c r="B18" s="505"/>
      <c r="C18" s="506"/>
      <c r="D18" s="501"/>
      <c r="E18" s="507"/>
      <c r="F18" s="434"/>
      <c r="G18" s="149">
        <v>1</v>
      </c>
      <c r="H18" s="53" t="s">
        <v>30</v>
      </c>
      <c r="I18" s="22">
        <f t="shared" si="1"/>
        <v>774</v>
      </c>
      <c r="J18" s="23">
        <f t="shared" si="2"/>
        <v>18.999999999999993</v>
      </c>
      <c r="K18" s="169">
        <v>921.06</v>
      </c>
      <c r="L18" s="5">
        <f t="shared" si="3"/>
        <v>921.06</v>
      </c>
      <c r="M18" s="412"/>
      <c r="N18" s="412"/>
      <c r="O18" s="412"/>
      <c r="P18" s="86">
        <f t="shared" si="0"/>
        <v>921.06</v>
      </c>
      <c r="Q18" s="414"/>
      <c r="R18" s="412"/>
      <c r="S18" s="416"/>
      <c r="T18" s="418"/>
      <c r="U18" s="408"/>
      <c r="V18" s="516"/>
    </row>
    <row r="19" spans="1:22" ht="45" customHeight="1" x14ac:dyDescent="0.3">
      <c r="A19" s="496">
        <v>8</v>
      </c>
      <c r="B19" s="505">
        <v>11162305</v>
      </c>
      <c r="C19" s="506" t="s">
        <v>38</v>
      </c>
      <c r="D19" s="554" t="s">
        <v>2011</v>
      </c>
      <c r="E19" s="434" t="s">
        <v>39</v>
      </c>
      <c r="F19" s="434" t="s">
        <v>26</v>
      </c>
      <c r="G19" s="149">
        <v>1</v>
      </c>
      <c r="H19" s="24" t="s">
        <v>27</v>
      </c>
      <c r="I19" s="22">
        <f t="shared" si="1"/>
        <v>1020</v>
      </c>
      <c r="J19" s="23">
        <f t="shared" si="2"/>
        <v>18.999999999999993</v>
      </c>
      <c r="K19" s="169">
        <v>1213.8</v>
      </c>
      <c r="L19" s="5">
        <f t="shared" si="3"/>
        <v>1213.8</v>
      </c>
      <c r="M19" s="411">
        <f t="shared" ref="M19" si="14">IFERROR(AVERAGE(L19:L20),"")</f>
        <v>1067.4299999999998</v>
      </c>
      <c r="N19" s="411">
        <f>IFERROR(HARMEAN(L19:L20),"")</f>
        <v>1047.3591973244147</v>
      </c>
      <c r="O19" s="411">
        <f>IFERROR(MEDIAN(L19:L20),"")</f>
        <v>1067.4299999999998</v>
      </c>
      <c r="P19" s="86">
        <f t="shared" si="0"/>
        <v>1213.8</v>
      </c>
      <c r="Q19" s="413">
        <f>IFERROR(SUM(P19:P20)/COUNTA(K19:K20),"")</f>
        <v>1067.4299999999998</v>
      </c>
      <c r="R19" s="411">
        <f>IFERROR(_xlfn.STDEV.S(L19:L20),"")</f>
        <v>206.99843912455142</v>
      </c>
      <c r="S19" s="415">
        <f>IFERROR(R19/M19,"")</f>
        <v>0.19392226106119506</v>
      </c>
      <c r="T19" s="417" t="s">
        <v>2005</v>
      </c>
      <c r="U19" s="407">
        <f>M19</f>
        <v>1067.4299999999998</v>
      </c>
      <c r="V19" s="504" t="e" vm="8">
        <v>#VALUE!</v>
      </c>
    </row>
    <row r="20" spans="1:22" ht="45" customHeight="1" x14ac:dyDescent="0.3">
      <c r="A20" s="496"/>
      <c r="B20" s="505"/>
      <c r="C20" s="506"/>
      <c r="D20" s="553"/>
      <c r="E20" s="434"/>
      <c r="F20" s="434"/>
      <c r="G20" s="149">
        <f t="shared" ref="G20" si="15">G19</f>
        <v>1</v>
      </c>
      <c r="H20" s="53" t="s">
        <v>30</v>
      </c>
      <c r="I20" s="22">
        <f t="shared" si="1"/>
        <v>774</v>
      </c>
      <c r="J20" s="23">
        <f t="shared" si="2"/>
        <v>18.999999999999993</v>
      </c>
      <c r="K20" s="169">
        <v>921.06</v>
      </c>
      <c r="L20" s="5">
        <f t="shared" si="3"/>
        <v>921.06</v>
      </c>
      <c r="M20" s="412"/>
      <c r="N20" s="412"/>
      <c r="O20" s="412"/>
      <c r="P20" s="86">
        <f t="shared" si="0"/>
        <v>921.06</v>
      </c>
      <c r="Q20" s="414"/>
      <c r="R20" s="412"/>
      <c r="S20" s="416"/>
      <c r="T20" s="418"/>
      <c r="U20" s="408"/>
      <c r="V20" s="504"/>
    </row>
    <row r="21" spans="1:22" ht="45" customHeight="1" x14ac:dyDescent="0.3">
      <c r="A21" s="488">
        <v>9</v>
      </c>
      <c r="B21" s="505">
        <v>11162201</v>
      </c>
      <c r="C21" s="506" t="s">
        <v>40</v>
      </c>
      <c r="D21" s="552" t="s">
        <v>41</v>
      </c>
      <c r="E21" s="547" t="s">
        <v>42</v>
      </c>
      <c r="F21" s="547" t="s">
        <v>72</v>
      </c>
      <c r="G21" s="150">
        <v>1</v>
      </c>
      <c r="H21" s="24" t="s">
        <v>44</v>
      </c>
      <c r="I21" s="22">
        <f t="shared" si="1"/>
        <v>3000</v>
      </c>
      <c r="J21" s="23">
        <f t="shared" si="2"/>
        <v>19</v>
      </c>
      <c r="K21" s="169">
        <v>3570</v>
      </c>
      <c r="L21" s="5">
        <f t="shared" si="3"/>
        <v>3570</v>
      </c>
      <c r="M21" s="411">
        <f>IFERROR(AVERAGE(L21:L23),"")</f>
        <v>3589.8333333333335</v>
      </c>
      <c r="N21" s="411">
        <f>IFERROR(HARMEAN(L21:L23),"")</f>
        <v>3517.160037002775</v>
      </c>
      <c r="O21" s="411">
        <f>IFERROR(MEDIAN(L21:L23),"")</f>
        <v>3570</v>
      </c>
      <c r="P21" s="86">
        <f t="shared" si="0"/>
        <v>3570</v>
      </c>
      <c r="Q21" s="413">
        <f>IFERROR(SUM(P21:P23)/COUNTA(K21:K23),"")</f>
        <v>3589.8333333333335</v>
      </c>
      <c r="R21" s="411">
        <f>IFERROR(_xlfn.STDEV.S(L21:L23),"")</f>
        <v>624.98606651135196</v>
      </c>
      <c r="S21" s="415">
        <f>IFERROR(R21/M21,"")</f>
        <v>0.17409890891258237</v>
      </c>
      <c r="T21" s="405" t="s">
        <v>2005</v>
      </c>
      <c r="U21" s="407">
        <f>M21</f>
        <v>3589.8333333333335</v>
      </c>
      <c r="V21" s="503" t="e" vm="9">
        <v>#VALUE!</v>
      </c>
    </row>
    <row r="22" spans="1:22" ht="45" customHeight="1" x14ac:dyDescent="0.3">
      <c r="A22" s="489"/>
      <c r="B22" s="505"/>
      <c r="C22" s="506"/>
      <c r="D22" s="553"/>
      <c r="E22" s="547"/>
      <c r="F22" s="547"/>
      <c r="G22" s="150">
        <f>G21</f>
        <v>1</v>
      </c>
      <c r="H22" s="24" t="s">
        <v>45</v>
      </c>
      <c r="I22" s="22">
        <f t="shared" si="1"/>
        <v>3550</v>
      </c>
      <c r="J22" s="23">
        <f t="shared" si="2"/>
        <v>19</v>
      </c>
      <c r="K22" s="169">
        <v>4224.5</v>
      </c>
      <c r="L22" s="5">
        <f t="shared" si="3"/>
        <v>4224.5</v>
      </c>
      <c r="M22" s="412"/>
      <c r="N22" s="412"/>
      <c r="O22" s="412"/>
      <c r="P22" s="86">
        <f t="shared" si="0"/>
        <v>4224.5</v>
      </c>
      <c r="Q22" s="414"/>
      <c r="R22" s="412"/>
      <c r="S22" s="416"/>
      <c r="T22" s="406"/>
      <c r="U22" s="408"/>
      <c r="V22" s="504"/>
    </row>
    <row r="23" spans="1:22" ht="45" customHeight="1" x14ac:dyDescent="0.3">
      <c r="A23" s="490"/>
      <c r="B23" s="505"/>
      <c r="C23" s="506"/>
      <c r="D23" s="553"/>
      <c r="E23" s="547"/>
      <c r="F23" s="547"/>
      <c r="G23" s="150">
        <f>G22</f>
        <v>1</v>
      </c>
      <c r="H23" s="24" t="s">
        <v>46</v>
      </c>
      <c r="I23" s="22">
        <f t="shared" si="1"/>
        <v>2500</v>
      </c>
      <c r="J23" s="23">
        <f t="shared" si="2"/>
        <v>19</v>
      </c>
      <c r="K23" s="169">
        <v>2975</v>
      </c>
      <c r="L23" s="5">
        <f t="shared" si="3"/>
        <v>2975</v>
      </c>
      <c r="M23" s="412"/>
      <c r="N23" s="412"/>
      <c r="O23" s="412"/>
      <c r="P23" s="86">
        <f t="shared" si="0"/>
        <v>2975</v>
      </c>
      <c r="Q23" s="414"/>
      <c r="R23" s="412"/>
      <c r="S23" s="416"/>
      <c r="T23" s="406"/>
      <c r="U23" s="408"/>
      <c r="V23" s="504"/>
    </row>
    <row r="24" spans="1:22" ht="45" customHeight="1" x14ac:dyDescent="0.3">
      <c r="A24" s="389">
        <v>10</v>
      </c>
      <c r="B24" s="498">
        <v>11162201</v>
      </c>
      <c r="C24" s="500" t="s">
        <v>47</v>
      </c>
      <c r="D24" s="500" t="s">
        <v>48</v>
      </c>
      <c r="E24" s="435" t="s">
        <v>42</v>
      </c>
      <c r="F24" s="435" t="s">
        <v>72</v>
      </c>
      <c r="G24" s="149">
        <v>1</v>
      </c>
      <c r="H24" s="24" t="s">
        <v>49</v>
      </c>
      <c r="I24" s="22">
        <f t="shared" si="1"/>
        <v>4200</v>
      </c>
      <c r="J24" s="23">
        <f t="shared" si="2"/>
        <v>19</v>
      </c>
      <c r="K24" s="169">
        <v>4998</v>
      </c>
      <c r="L24" s="5">
        <f t="shared" si="3"/>
        <v>4998</v>
      </c>
      <c r="M24" s="411">
        <f t="shared" ref="M24" si="16">IFERROR(AVERAGE(L24:L25),"")</f>
        <v>9103.5</v>
      </c>
      <c r="N24" s="411">
        <f>IFERROR(HARMEAN(L24:L25),"")</f>
        <v>7251.9999999999991</v>
      </c>
      <c r="O24" s="411">
        <f>IFERROR(MEDIAN(L24:L25),"")</f>
        <v>9103.5</v>
      </c>
      <c r="P24" s="86">
        <f t="shared" si="0"/>
        <v>4998</v>
      </c>
      <c r="Q24" s="413">
        <f>IFERROR(SUM(P24:P25)/COUNTA(K24:K25),"")</f>
        <v>9103.5</v>
      </c>
      <c r="R24" s="411">
        <f>IFERROR(_xlfn.STDEV.S(L24:L25),"")</f>
        <v>5806.0537803227417</v>
      </c>
      <c r="S24" s="415">
        <f>IFERROR(R24/M24,"")</f>
        <v>0.63778258695257228</v>
      </c>
      <c r="T24" s="417" t="s">
        <v>2005</v>
      </c>
      <c r="U24" s="407">
        <f>M24</f>
        <v>9103.5</v>
      </c>
      <c r="V24" s="503" t="e" vm="10">
        <v>#VALUE!</v>
      </c>
    </row>
    <row r="25" spans="1:22" ht="45" customHeight="1" x14ac:dyDescent="0.3">
      <c r="A25" s="476"/>
      <c r="B25" s="499"/>
      <c r="C25" s="501"/>
      <c r="D25" s="501"/>
      <c r="E25" s="434"/>
      <c r="F25" s="434"/>
      <c r="G25" s="149">
        <f>G24</f>
        <v>1</v>
      </c>
      <c r="H25" s="53" t="s">
        <v>50</v>
      </c>
      <c r="I25" s="22">
        <f t="shared" si="1"/>
        <v>11100</v>
      </c>
      <c r="J25" s="23">
        <f t="shared" si="2"/>
        <v>19</v>
      </c>
      <c r="K25" s="169">
        <v>13209</v>
      </c>
      <c r="L25" s="5">
        <f t="shared" si="3"/>
        <v>13209</v>
      </c>
      <c r="M25" s="412"/>
      <c r="N25" s="412"/>
      <c r="O25" s="412"/>
      <c r="P25" s="86">
        <f t="shared" si="0"/>
        <v>13209</v>
      </c>
      <c r="Q25" s="414"/>
      <c r="R25" s="412"/>
      <c r="S25" s="416"/>
      <c r="T25" s="418"/>
      <c r="U25" s="408"/>
      <c r="V25" s="504"/>
    </row>
    <row r="26" spans="1:22" ht="45" customHeight="1" x14ac:dyDescent="0.3">
      <c r="A26" s="496">
        <v>11</v>
      </c>
      <c r="B26" s="505">
        <v>11162200</v>
      </c>
      <c r="C26" s="506" t="s">
        <v>51</v>
      </c>
      <c r="D26" s="506" t="s">
        <v>52</v>
      </c>
      <c r="E26" s="508" t="s">
        <v>42</v>
      </c>
      <c r="F26" s="435" t="s">
        <v>72</v>
      </c>
      <c r="G26" s="149">
        <v>1</v>
      </c>
      <c r="H26" s="24" t="s">
        <v>53</v>
      </c>
      <c r="I26" s="22">
        <f t="shared" si="1"/>
        <v>23520</v>
      </c>
      <c r="J26" s="23">
        <f t="shared" si="2"/>
        <v>18.999999999999996</v>
      </c>
      <c r="K26" s="169">
        <v>27988.799999999999</v>
      </c>
      <c r="L26" s="5">
        <f t="shared" si="3"/>
        <v>27988.799999999999</v>
      </c>
      <c r="M26" s="411">
        <f t="shared" ref="M26" si="17">IFERROR(AVERAGE(L26:L27),"")</f>
        <v>28274.400000000001</v>
      </c>
      <c r="N26" s="411">
        <f>IFERROR(HARMEAN(L26:L27),"")</f>
        <v>28271.515151515156</v>
      </c>
      <c r="O26" s="411">
        <f>IFERROR(MEDIAN(L26:L27),"")</f>
        <v>28274.400000000001</v>
      </c>
      <c r="P26" s="86">
        <f t="shared" si="0"/>
        <v>27988.799999999999</v>
      </c>
      <c r="Q26" s="413">
        <f>IFERROR(SUM(P26:P27)/COUNTA(K26:K27),"")</f>
        <v>28274.400000000001</v>
      </c>
      <c r="R26" s="411">
        <f>IFERROR(_xlfn.STDEV.S(L26:L27),"")</f>
        <v>403.89939341375651</v>
      </c>
      <c r="S26" s="415">
        <f>IFERROR(R26/M26,"")</f>
        <v>1.4284985478516131E-2</v>
      </c>
      <c r="T26" s="417" t="s">
        <v>2005</v>
      </c>
      <c r="U26" s="407">
        <f>M26</f>
        <v>28274.400000000001</v>
      </c>
      <c r="V26" s="503" t="e" vm="11">
        <v>#VALUE!</v>
      </c>
    </row>
    <row r="27" spans="1:22" ht="45" customHeight="1" x14ac:dyDescent="0.3">
      <c r="A27" s="496"/>
      <c r="B27" s="505"/>
      <c r="C27" s="506"/>
      <c r="D27" s="506"/>
      <c r="E27" s="507"/>
      <c r="F27" s="434"/>
      <c r="G27" s="149">
        <f t="shared" ref="G27" si="18">G26</f>
        <v>1</v>
      </c>
      <c r="H27" s="53" t="s">
        <v>54</v>
      </c>
      <c r="I27" s="22">
        <f t="shared" si="1"/>
        <v>24000</v>
      </c>
      <c r="J27" s="23">
        <f t="shared" si="2"/>
        <v>19</v>
      </c>
      <c r="K27" s="169">
        <v>28560</v>
      </c>
      <c r="L27" s="5">
        <f t="shared" si="3"/>
        <v>28560</v>
      </c>
      <c r="M27" s="412"/>
      <c r="N27" s="412"/>
      <c r="O27" s="412"/>
      <c r="P27" s="86">
        <f t="shared" si="0"/>
        <v>28560</v>
      </c>
      <c r="Q27" s="414"/>
      <c r="R27" s="412"/>
      <c r="S27" s="416"/>
      <c r="T27" s="418"/>
      <c r="U27" s="408"/>
      <c r="V27" s="504"/>
    </row>
    <row r="28" spans="1:22" ht="45" customHeight="1" x14ac:dyDescent="0.3">
      <c r="A28" s="496">
        <v>12</v>
      </c>
      <c r="B28" s="505">
        <v>11162200</v>
      </c>
      <c r="C28" s="551" t="s">
        <v>55</v>
      </c>
      <c r="D28" s="506" t="s">
        <v>56</v>
      </c>
      <c r="E28" s="508" t="s">
        <v>42</v>
      </c>
      <c r="F28" s="435" t="s">
        <v>72</v>
      </c>
      <c r="G28" s="149">
        <v>1</v>
      </c>
      <c r="H28" s="24" t="s">
        <v>53</v>
      </c>
      <c r="I28" s="22">
        <f t="shared" si="1"/>
        <v>39489.000000000007</v>
      </c>
      <c r="J28" s="23">
        <f t="shared" si="2"/>
        <v>18.999999999999986</v>
      </c>
      <c r="K28" s="169">
        <v>46991.91</v>
      </c>
      <c r="L28" s="5">
        <f t="shared" si="3"/>
        <v>46991.91</v>
      </c>
      <c r="M28" s="411">
        <f t="shared" ref="M28" si="19">IFERROR(AVERAGE(L28:L29),"")</f>
        <v>54435.955000000002</v>
      </c>
      <c r="N28" s="411">
        <f>IFERROR(HARMEAN(L28:L29),"")</f>
        <v>53417.991671129865</v>
      </c>
      <c r="O28" s="411">
        <f>IFERROR(MEDIAN(L28:L29),"")</f>
        <v>54435.955000000002</v>
      </c>
      <c r="P28" s="86">
        <f t="shared" si="0"/>
        <v>46991.91</v>
      </c>
      <c r="Q28" s="413">
        <f>IFERROR(SUM(P28:P29)/COUNTA(K28:K29),"")</f>
        <v>54435.955000000002</v>
      </c>
      <c r="R28" s="411">
        <f>IFERROR(_xlfn.STDEV.S(L28:L29),"")</f>
        <v>10527.469397915596</v>
      </c>
      <c r="S28" s="415">
        <f>IFERROR(R28/M28,"")</f>
        <v>0.19339183813190375</v>
      </c>
      <c r="T28" s="417" t="s">
        <v>2005</v>
      </c>
      <c r="U28" s="407">
        <f>M28</f>
        <v>54435.955000000002</v>
      </c>
      <c r="V28" s="503" t="e" vm="11">
        <v>#VALUE!</v>
      </c>
    </row>
    <row r="29" spans="1:22" ht="45" customHeight="1" x14ac:dyDescent="0.3">
      <c r="A29" s="496"/>
      <c r="B29" s="505"/>
      <c r="C29" s="551"/>
      <c r="D29" s="506"/>
      <c r="E29" s="507"/>
      <c r="F29" s="434"/>
      <c r="G29" s="149">
        <f t="shared" ref="G29" si="20">G28</f>
        <v>1</v>
      </c>
      <c r="H29" s="53" t="s">
        <v>57</v>
      </c>
      <c r="I29" s="22">
        <f t="shared" si="1"/>
        <v>52000</v>
      </c>
      <c r="J29" s="23">
        <f t="shared" si="2"/>
        <v>19</v>
      </c>
      <c r="K29" s="169">
        <v>61880</v>
      </c>
      <c r="L29" s="5">
        <f t="shared" si="3"/>
        <v>61880</v>
      </c>
      <c r="M29" s="412"/>
      <c r="N29" s="412"/>
      <c r="O29" s="412"/>
      <c r="P29" s="86">
        <f t="shared" si="0"/>
        <v>61880</v>
      </c>
      <c r="Q29" s="414"/>
      <c r="R29" s="412"/>
      <c r="S29" s="416"/>
      <c r="T29" s="418"/>
      <c r="U29" s="408"/>
      <c r="V29" s="504"/>
    </row>
    <row r="30" spans="1:22" ht="45" customHeight="1" x14ac:dyDescent="0.3">
      <c r="A30" s="496">
        <v>13</v>
      </c>
      <c r="B30" s="505">
        <v>11162201</v>
      </c>
      <c r="C30" s="506" t="s">
        <v>58</v>
      </c>
      <c r="D30" s="506" t="s">
        <v>59</v>
      </c>
      <c r="E30" s="507" t="s">
        <v>42</v>
      </c>
      <c r="F30" s="434" t="s">
        <v>72</v>
      </c>
      <c r="G30" s="149">
        <v>1</v>
      </c>
      <c r="H30" s="24" t="s">
        <v>53</v>
      </c>
      <c r="I30" s="22">
        <f t="shared" si="1"/>
        <v>11613</v>
      </c>
      <c r="J30" s="23">
        <f t="shared" si="2"/>
        <v>18.999999999999993</v>
      </c>
      <c r="K30" s="169">
        <v>13819.47</v>
      </c>
      <c r="L30" s="5">
        <f t="shared" si="3"/>
        <v>13819.47</v>
      </c>
      <c r="M30" s="411">
        <f t="shared" ref="M30" si="21">IFERROR(AVERAGE(L30:L31),"")</f>
        <v>15834.735000000001</v>
      </c>
      <c r="N30" s="411">
        <f>IFERROR(HARMEAN(L30:L31),"")</f>
        <v>15578.254988163677</v>
      </c>
      <c r="O30" s="411">
        <f>IFERROR(MEDIAN(L30:L31),"")</f>
        <v>15834.735000000001</v>
      </c>
      <c r="P30" s="86">
        <f t="shared" si="0"/>
        <v>13819.47</v>
      </c>
      <c r="Q30" s="413">
        <f>IFERROR(SUM(P30:P31)/COUNTA(K30:K31),"")</f>
        <v>15834.735000000001</v>
      </c>
      <c r="R30" s="411">
        <f>IFERROR(_xlfn.STDEV.S(L30:L31),"")</f>
        <v>2850.0150947758007</v>
      </c>
      <c r="S30" s="415">
        <f>IFERROR(R30/M30,"")</f>
        <v>0.17998501994354818</v>
      </c>
      <c r="T30" s="417" t="s">
        <v>2005</v>
      </c>
      <c r="U30" s="407">
        <f>M30</f>
        <v>15834.735000000001</v>
      </c>
      <c r="V30" s="503" t="e" vm="12">
        <v>#VALUE!</v>
      </c>
    </row>
    <row r="31" spans="1:22" ht="45" customHeight="1" x14ac:dyDescent="0.3">
      <c r="A31" s="496"/>
      <c r="B31" s="505"/>
      <c r="C31" s="506"/>
      <c r="D31" s="506"/>
      <c r="E31" s="507"/>
      <c r="F31" s="434"/>
      <c r="G31" s="149">
        <f t="shared" ref="G31" si="22">G30</f>
        <v>1</v>
      </c>
      <c r="H31" s="53" t="s">
        <v>60</v>
      </c>
      <c r="I31" s="22">
        <f t="shared" si="1"/>
        <v>15000</v>
      </c>
      <c r="J31" s="23">
        <f t="shared" si="2"/>
        <v>19</v>
      </c>
      <c r="K31" s="169">
        <v>17850</v>
      </c>
      <c r="L31" s="5">
        <f t="shared" si="3"/>
        <v>17850</v>
      </c>
      <c r="M31" s="412"/>
      <c r="N31" s="412"/>
      <c r="O31" s="412"/>
      <c r="P31" s="86">
        <f t="shared" si="0"/>
        <v>17850</v>
      </c>
      <c r="Q31" s="414"/>
      <c r="R31" s="412"/>
      <c r="S31" s="416"/>
      <c r="T31" s="418"/>
      <c r="U31" s="408"/>
      <c r="V31" s="504"/>
    </row>
    <row r="32" spans="1:22" ht="45" customHeight="1" x14ac:dyDescent="0.3">
      <c r="A32" s="496">
        <v>14</v>
      </c>
      <c r="B32" s="505">
        <v>11162201</v>
      </c>
      <c r="C32" s="506" t="s">
        <v>61</v>
      </c>
      <c r="D32" s="506" t="s">
        <v>62</v>
      </c>
      <c r="E32" s="507" t="s">
        <v>42</v>
      </c>
      <c r="F32" s="434" t="s">
        <v>72</v>
      </c>
      <c r="G32" s="149">
        <v>1</v>
      </c>
      <c r="H32" s="24" t="s">
        <v>53</v>
      </c>
      <c r="I32" s="22">
        <f t="shared" si="1"/>
        <v>20856</v>
      </c>
      <c r="J32" s="23">
        <f t="shared" si="2"/>
        <v>18.999999999999996</v>
      </c>
      <c r="K32" s="169">
        <v>24818.639999999999</v>
      </c>
      <c r="L32" s="5">
        <f t="shared" si="3"/>
        <v>24818.639999999999</v>
      </c>
      <c r="M32" s="411">
        <f t="shared" ref="M32" si="23">IFERROR(AVERAGE(L32:L33),"")</f>
        <v>21334.32</v>
      </c>
      <c r="N32" s="411">
        <f>IFERROR(HARMEAN(L32:L33),"")</f>
        <v>20765.261044176706</v>
      </c>
      <c r="O32" s="411">
        <f>IFERROR(MEDIAN(L32:L33),"")</f>
        <v>21334.32</v>
      </c>
      <c r="P32" s="86">
        <f t="shared" si="0"/>
        <v>24818.639999999999</v>
      </c>
      <c r="Q32" s="413">
        <f>IFERROR(SUM(P32:P33)/COUNTA(K32:K33),"")</f>
        <v>21334.32</v>
      </c>
      <c r="R32" s="411">
        <f>IFERROR(_xlfn.STDEV.S(L32:L33),"")</f>
        <v>4927.5725996478213</v>
      </c>
      <c r="S32" s="415">
        <f>IFERROR(R32/M32,"")</f>
        <v>0.23096928327913996</v>
      </c>
      <c r="T32" s="417" t="s">
        <v>2005</v>
      </c>
      <c r="U32" s="407">
        <f>M32</f>
        <v>21334.32</v>
      </c>
      <c r="V32" s="516" t="e" vm="12">
        <v>#VALUE!</v>
      </c>
    </row>
    <row r="33" spans="1:22" ht="45" customHeight="1" x14ac:dyDescent="0.3">
      <c r="A33" s="496"/>
      <c r="B33" s="505"/>
      <c r="C33" s="506"/>
      <c r="D33" s="506"/>
      <c r="E33" s="507"/>
      <c r="F33" s="434"/>
      <c r="G33" s="149">
        <f t="shared" ref="G33" si="24">G32</f>
        <v>1</v>
      </c>
      <c r="H33" s="53" t="s">
        <v>60</v>
      </c>
      <c r="I33" s="22">
        <f t="shared" si="1"/>
        <v>15000</v>
      </c>
      <c r="J33" s="23">
        <f t="shared" si="2"/>
        <v>19</v>
      </c>
      <c r="K33" s="169">
        <v>17850</v>
      </c>
      <c r="L33" s="5">
        <f t="shared" si="3"/>
        <v>17850</v>
      </c>
      <c r="M33" s="412"/>
      <c r="N33" s="412"/>
      <c r="O33" s="412"/>
      <c r="P33" s="86">
        <f t="shared" si="0"/>
        <v>17850</v>
      </c>
      <c r="Q33" s="414"/>
      <c r="R33" s="412"/>
      <c r="S33" s="416"/>
      <c r="T33" s="418"/>
      <c r="U33" s="408"/>
      <c r="V33" s="516"/>
    </row>
    <row r="34" spans="1:22" ht="45" customHeight="1" x14ac:dyDescent="0.3">
      <c r="A34" s="496">
        <v>15</v>
      </c>
      <c r="B34" s="505">
        <v>31201601</v>
      </c>
      <c r="C34" s="506" t="s">
        <v>63</v>
      </c>
      <c r="D34" s="546" t="s">
        <v>64</v>
      </c>
      <c r="E34" s="450" t="s">
        <v>65</v>
      </c>
      <c r="F34" s="450" t="s">
        <v>104</v>
      </c>
      <c r="G34" s="150">
        <v>1</v>
      </c>
      <c r="H34" s="24" t="s">
        <v>66</v>
      </c>
      <c r="I34" s="22">
        <f t="shared" si="1"/>
        <v>36000</v>
      </c>
      <c r="J34" s="23">
        <f t="shared" si="2"/>
        <v>19</v>
      </c>
      <c r="K34" s="169">
        <v>42840</v>
      </c>
      <c r="L34" s="5">
        <f t="shared" si="3"/>
        <v>42840</v>
      </c>
      <c r="M34" s="411">
        <f t="shared" ref="M34" si="25">IFERROR(AVERAGE(L34:L35),"")</f>
        <v>44854.074999999997</v>
      </c>
      <c r="N34" s="411">
        <f>IFERROR(HARMEAN(L34:L35),"")</f>
        <v>44763.637328380973</v>
      </c>
      <c r="O34" s="411">
        <f>IFERROR(MEDIAN(L34:L35),"")</f>
        <v>44854.074999999997</v>
      </c>
      <c r="P34" s="86">
        <f t="shared" si="0"/>
        <v>42840</v>
      </c>
      <c r="Q34" s="413">
        <f>IFERROR(SUM(P34:P35)/COUNTA(K34:K35),"")</f>
        <v>44854.074999999997</v>
      </c>
      <c r="R34" s="411">
        <f>IFERROR(_xlfn.STDEV.S(L34:L35),"")</f>
        <v>2848.3321806365925</v>
      </c>
      <c r="S34" s="415">
        <f>IFERROR(R34/M34,"")</f>
        <v>6.350219418495627E-2</v>
      </c>
      <c r="T34" s="417" t="s">
        <v>2005</v>
      </c>
      <c r="U34" s="407">
        <f>M34</f>
        <v>44854.074999999997</v>
      </c>
      <c r="V34" s="504" t="e" vm="13">
        <v>#VALUE!</v>
      </c>
    </row>
    <row r="35" spans="1:22" ht="45" customHeight="1" x14ac:dyDescent="0.3">
      <c r="A35" s="496"/>
      <c r="B35" s="505"/>
      <c r="C35" s="506"/>
      <c r="D35" s="546"/>
      <c r="E35" s="450"/>
      <c r="F35" s="450"/>
      <c r="G35" s="150">
        <f t="shared" ref="G35" si="26">G34</f>
        <v>1</v>
      </c>
      <c r="H35" s="53" t="s">
        <v>67</v>
      </c>
      <c r="I35" s="22">
        <f t="shared" si="1"/>
        <v>39385</v>
      </c>
      <c r="J35" s="23">
        <f t="shared" si="2"/>
        <v>19.000000000000004</v>
      </c>
      <c r="K35" s="169">
        <v>46868.15</v>
      </c>
      <c r="L35" s="5">
        <f t="shared" si="3"/>
        <v>46868.15</v>
      </c>
      <c r="M35" s="412"/>
      <c r="N35" s="412"/>
      <c r="O35" s="412"/>
      <c r="P35" s="86">
        <f t="shared" si="0"/>
        <v>46868.15</v>
      </c>
      <c r="Q35" s="414"/>
      <c r="R35" s="412"/>
      <c r="S35" s="416"/>
      <c r="T35" s="418"/>
      <c r="U35" s="408"/>
      <c r="V35" s="504"/>
    </row>
    <row r="36" spans="1:22" ht="45" customHeight="1" x14ac:dyDescent="0.3">
      <c r="A36" s="496">
        <v>16</v>
      </c>
      <c r="B36" s="549">
        <v>312016</v>
      </c>
      <c r="C36" s="550" t="s">
        <v>68</v>
      </c>
      <c r="D36" s="506" t="s">
        <v>69</v>
      </c>
      <c r="E36" s="508" t="s">
        <v>70</v>
      </c>
      <c r="F36" s="435" t="s">
        <v>460</v>
      </c>
      <c r="G36" s="149">
        <v>1</v>
      </c>
      <c r="H36" s="24" t="s">
        <v>66</v>
      </c>
      <c r="I36" s="22">
        <f t="shared" si="1"/>
        <v>64000</v>
      </c>
      <c r="J36" s="23">
        <f t="shared" si="2"/>
        <v>19</v>
      </c>
      <c r="K36" s="169">
        <v>76160</v>
      </c>
      <c r="L36" s="5">
        <f t="shared" si="3"/>
        <v>76160</v>
      </c>
      <c r="M36" s="411">
        <f t="shared" ref="M36" si="27">IFERROR(AVERAGE(L36:L37),"")</f>
        <v>126515</v>
      </c>
      <c r="N36" s="411">
        <f>IFERROR(HARMEAN(L36:L37),"")</f>
        <v>106472.90202742758</v>
      </c>
      <c r="O36" s="411">
        <f>IFERROR(MEDIAN(L36:L37),"")</f>
        <v>126515</v>
      </c>
      <c r="P36" s="86">
        <f t="shared" si="0"/>
        <v>76160</v>
      </c>
      <c r="Q36" s="413">
        <f>IFERROR(SUM(P36:P37)/COUNTA(K36:K37),"")</f>
        <v>126515</v>
      </c>
      <c r="R36" s="411">
        <f>IFERROR(_xlfn.STDEV.S(L36:L37),"")</f>
        <v>71212.723933297195</v>
      </c>
      <c r="S36" s="415">
        <f>IFERROR(R36/M36,"")</f>
        <v>0.56287968962808521</v>
      </c>
      <c r="T36" s="417" t="s">
        <v>2005</v>
      </c>
      <c r="U36" s="407">
        <f>M36</f>
        <v>126515</v>
      </c>
      <c r="V36" s="503" t="e" vm="14">
        <v>#VALUE!</v>
      </c>
    </row>
    <row r="37" spans="1:22" ht="45" customHeight="1" x14ac:dyDescent="0.3">
      <c r="A37" s="496"/>
      <c r="B37" s="549"/>
      <c r="C37" s="550"/>
      <c r="D37" s="506"/>
      <c r="E37" s="507" t="s">
        <v>42</v>
      </c>
      <c r="F37" s="434" t="s">
        <v>72</v>
      </c>
      <c r="G37" s="149">
        <v>1</v>
      </c>
      <c r="H37" s="53" t="s">
        <v>73</v>
      </c>
      <c r="I37" s="22">
        <f t="shared" si="1"/>
        <v>148630.25210084036</v>
      </c>
      <c r="J37" s="23">
        <f t="shared" si="2"/>
        <v>18.999999999999982</v>
      </c>
      <c r="K37" s="169">
        <v>176870</v>
      </c>
      <c r="L37" s="5">
        <f t="shared" si="3"/>
        <v>176870</v>
      </c>
      <c r="M37" s="412"/>
      <c r="N37" s="412"/>
      <c r="O37" s="412"/>
      <c r="P37" s="86">
        <f t="shared" si="0"/>
        <v>176870</v>
      </c>
      <c r="Q37" s="414"/>
      <c r="R37" s="412"/>
      <c r="S37" s="416"/>
      <c r="T37" s="418"/>
      <c r="U37" s="408"/>
      <c r="V37" s="504"/>
    </row>
    <row r="38" spans="1:22" ht="45" customHeight="1" x14ac:dyDescent="0.3">
      <c r="A38" s="496">
        <v>17</v>
      </c>
      <c r="B38" s="549">
        <v>312016</v>
      </c>
      <c r="C38" s="506" t="s">
        <v>74</v>
      </c>
      <c r="D38" s="506" t="s">
        <v>75</v>
      </c>
      <c r="E38" s="507" t="s">
        <v>70</v>
      </c>
      <c r="F38" s="434" t="s">
        <v>460</v>
      </c>
      <c r="G38" s="149">
        <v>1</v>
      </c>
      <c r="H38" s="24" t="s">
        <v>66</v>
      </c>
      <c r="I38" s="22">
        <f t="shared" si="1"/>
        <v>36000</v>
      </c>
      <c r="J38" s="23">
        <f t="shared" si="2"/>
        <v>19</v>
      </c>
      <c r="K38" s="169">
        <v>42840</v>
      </c>
      <c r="L38" s="5">
        <f t="shared" si="3"/>
        <v>42840</v>
      </c>
      <c r="M38" s="411">
        <f t="shared" ref="M38" si="28">IFERROR(AVERAGE(L38:L39),"")</f>
        <v>37920</v>
      </c>
      <c r="N38" s="411">
        <f>IFERROR(HARMEAN(L38:L39),"")</f>
        <v>37281.645569620254</v>
      </c>
      <c r="O38" s="411">
        <f>IFERROR(MEDIAN(L38:L39),"")</f>
        <v>37920</v>
      </c>
      <c r="P38" s="86">
        <f t="shared" si="0"/>
        <v>42840</v>
      </c>
      <c r="Q38" s="413">
        <f>IFERROR(SUM(P38:P39)/COUNTA(K38:K39),"")</f>
        <v>37920</v>
      </c>
      <c r="R38" s="411">
        <f>IFERROR(_xlfn.STDEV.S(L38:L39),"")</f>
        <v>6957.9307268756274</v>
      </c>
      <c r="S38" s="415">
        <f>IFERROR(R38/M38,"")</f>
        <v>0.18348973435853447</v>
      </c>
      <c r="T38" s="417" t="s">
        <v>2005</v>
      </c>
      <c r="U38" s="407">
        <f>M38</f>
        <v>37920</v>
      </c>
      <c r="V38" s="503" t="e" vm="15">
        <v>#VALUE!</v>
      </c>
    </row>
    <row r="39" spans="1:22" ht="45" customHeight="1" x14ac:dyDescent="0.3">
      <c r="A39" s="496"/>
      <c r="B39" s="549"/>
      <c r="C39" s="506"/>
      <c r="D39" s="506"/>
      <c r="E39" s="507"/>
      <c r="F39" s="434"/>
      <c r="G39" s="149">
        <f t="shared" ref="G39" si="29">G38</f>
        <v>1</v>
      </c>
      <c r="H39" s="53" t="s">
        <v>45</v>
      </c>
      <c r="I39" s="22">
        <f t="shared" si="1"/>
        <v>27731.092436974792</v>
      </c>
      <c r="J39" s="23">
        <f t="shared" si="2"/>
        <v>18.999999999999993</v>
      </c>
      <c r="K39" s="169">
        <v>33000</v>
      </c>
      <c r="L39" s="5">
        <f t="shared" si="3"/>
        <v>33000</v>
      </c>
      <c r="M39" s="412"/>
      <c r="N39" s="412"/>
      <c r="O39" s="412"/>
      <c r="P39" s="86">
        <f t="shared" si="0"/>
        <v>33000</v>
      </c>
      <c r="Q39" s="414"/>
      <c r="R39" s="412"/>
      <c r="S39" s="416"/>
      <c r="T39" s="418"/>
      <c r="U39" s="408"/>
      <c r="V39" s="504"/>
    </row>
    <row r="40" spans="1:22" ht="45" customHeight="1" x14ac:dyDescent="0.3">
      <c r="A40" s="496">
        <v>18</v>
      </c>
      <c r="B40" s="549">
        <v>312016</v>
      </c>
      <c r="C40" s="506" t="s">
        <v>76</v>
      </c>
      <c r="D40" s="506" t="s">
        <v>77</v>
      </c>
      <c r="E40" s="507" t="s">
        <v>78</v>
      </c>
      <c r="F40" s="434" t="s">
        <v>79</v>
      </c>
      <c r="G40" s="149">
        <v>1</v>
      </c>
      <c r="H40" s="24" t="s">
        <v>80</v>
      </c>
      <c r="I40" s="22">
        <f t="shared" si="1"/>
        <v>11542.857142857143</v>
      </c>
      <c r="J40" s="23">
        <f t="shared" si="2"/>
        <v>18.999999999999996</v>
      </c>
      <c r="K40" s="169">
        <v>13736</v>
      </c>
      <c r="L40" s="5">
        <f t="shared" si="3"/>
        <v>13736</v>
      </c>
      <c r="M40" s="411">
        <f t="shared" ref="M40" si="30">IFERROR(AVERAGE(L40:L41),"")</f>
        <v>11033</v>
      </c>
      <c r="N40" s="411">
        <f>IFERROR(HARMEAN(L40:L41),"")</f>
        <v>10370.785824345145</v>
      </c>
      <c r="O40" s="411">
        <f>IFERROR(MEDIAN(L40:L41),"")</f>
        <v>11033</v>
      </c>
      <c r="P40" s="86">
        <f t="shared" si="0"/>
        <v>13736</v>
      </c>
      <c r="Q40" s="413">
        <f>IFERROR(SUM(P40:P41)/COUNTA(K40:K41),"")</f>
        <v>11033</v>
      </c>
      <c r="R40" s="411">
        <f>IFERROR(_xlfn.STDEV.S(L40:L41),"")</f>
        <v>3822.6192590944761</v>
      </c>
      <c r="S40" s="415">
        <f>IFERROR(R40/M40,"")</f>
        <v>0.34647142745350096</v>
      </c>
      <c r="T40" s="417" t="s">
        <v>2005</v>
      </c>
      <c r="U40" s="407">
        <f>M40</f>
        <v>11033</v>
      </c>
      <c r="V40" s="503" t="e" vm="16">
        <v>#VALUE!</v>
      </c>
    </row>
    <row r="41" spans="1:22" ht="45" customHeight="1" x14ac:dyDescent="0.3">
      <c r="A41" s="496"/>
      <c r="B41" s="549"/>
      <c r="C41" s="506"/>
      <c r="D41" s="506"/>
      <c r="E41" s="507"/>
      <c r="F41" s="434" t="s">
        <v>79</v>
      </c>
      <c r="G41" s="149">
        <f t="shared" ref="G41" si="31">G40</f>
        <v>1</v>
      </c>
      <c r="H41" s="53" t="s">
        <v>81</v>
      </c>
      <c r="I41" s="22">
        <f t="shared" si="1"/>
        <v>7000</v>
      </c>
      <c r="J41" s="23">
        <f t="shared" si="2"/>
        <v>19</v>
      </c>
      <c r="K41" s="169">
        <v>8330</v>
      </c>
      <c r="L41" s="5">
        <f t="shared" si="3"/>
        <v>8330</v>
      </c>
      <c r="M41" s="412"/>
      <c r="N41" s="412"/>
      <c r="O41" s="412"/>
      <c r="P41" s="86">
        <f t="shared" si="0"/>
        <v>8330</v>
      </c>
      <c r="Q41" s="414"/>
      <c r="R41" s="412"/>
      <c r="S41" s="416"/>
      <c r="T41" s="418"/>
      <c r="U41" s="408"/>
      <c r="V41" s="504"/>
    </row>
    <row r="42" spans="1:22" ht="45" customHeight="1" x14ac:dyDescent="0.3">
      <c r="A42" s="496">
        <v>19</v>
      </c>
      <c r="B42" s="549">
        <v>312016</v>
      </c>
      <c r="C42" s="500" t="s">
        <v>82</v>
      </c>
      <c r="D42" s="506" t="s">
        <v>83</v>
      </c>
      <c r="E42" s="507" t="s">
        <v>78</v>
      </c>
      <c r="F42" s="434" t="s">
        <v>79</v>
      </c>
      <c r="G42" s="149">
        <v>1</v>
      </c>
      <c r="H42" s="24" t="s">
        <v>84</v>
      </c>
      <c r="I42" s="22">
        <f t="shared" si="1"/>
        <v>10899</v>
      </c>
      <c r="J42" s="23">
        <f t="shared" si="2"/>
        <v>18.999999999999993</v>
      </c>
      <c r="K42" s="169">
        <v>12969.81</v>
      </c>
      <c r="L42" s="5">
        <f t="shared" si="3"/>
        <v>12969.81</v>
      </c>
      <c r="M42" s="411">
        <f t="shared" ref="M42" si="32">IFERROR(AVERAGE(L42:L43),"")</f>
        <v>14219.904999999999</v>
      </c>
      <c r="N42" s="411">
        <f>IFERROR(HARMEAN(L42:L43),"")</f>
        <v>14110.007113268339</v>
      </c>
      <c r="O42" s="411">
        <f>IFERROR(MEDIAN(L42:L43),"")</f>
        <v>14219.904999999999</v>
      </c>
      <c r="P42" s="86">
        <f t="shared" si="0"/>
        <v>12969.81</v>
      </c>
      <c r="Q42" s="413">
        <f>IFERROR(SUM(P42:P43)/COUNTA(K42:K43),"")</f>
        <v>14219.904999999999</v>
      </c>
      <c r="R42" s="411">
        <f>IFERROR(_xlfn.STDEV.S(L42:L43),"")</f>
        <v>1767.9013032547946</v>
      </c>
      <c r="S42" s="415">
        <f>IFERROR(R42/M42,"")</f>
        <v>0.12432581675157427</v>
      </c>
      <c r="T42" s="417" t="s">
        <v>2005</v>
      </c>
      <c r="U42" s="407">
        <f>M42</f>
        <v>14219.904999999999</v>
      </c>
      <c r="V42" s="503" t="e" vm="17">
        <v>#VALUE!</v>
      </c>
    </row>
    <row r="43" spans="1:22" ht="45" customHeight="1" x14ac:dyDescent="0.3">
      <c r="A43" s="496"/>
      <c r="B43" s="549"/>
      <c r="C43" s="525"/>
      <c r="D43" s="506" t="s">
        <v>85</v>
      </c>
      <c r="E43" s="507"/>
      <c r="F43" s="434"/>
      <c r="G43" s="149">
        <f t="shared" ref="G43" si="33">G42</f>
        <v>1</v>
      </c>
      <c r="H43" s="53" t="s">
        <v>86</v>
      </c>
      <c r="I43" s="22">
        <f t="shared" si="1"/>
        <v>13000</v>
      </c>
      <c r="J43" s="23">
        <f t="shared" si="2"/>
        <v>19</v>
      </c>
      <c r="K43" s="169">
        <v>15470</v>
      </c>
      <c r="L43" s="5">
        <f t="shared" si="3"/>
        <v>15470</v>
      </c>
      <c r="M43" s="412"/>
      <c r="N43" s="412"/>
      <c r="O43" s="412"/>
      <c r="P43" s="86">
        <f t="shared" si="0"/>
        <v>15470</v>
      </c>
      <c r="Q43" s="414"/>
      <c r="R43" s="412"/>
      <c r="S43" s="416"/>
      <c r="T43" s="418"/>
      <c r="U43" s="408"/>
      <c r="V43" s="504"/>
    </row>
    <row r="44" spans="1:22" ht="45" customHeight="1" x14ac:dyDescent="0.3">
      <c r="A44" s="496">
        <v>20</v>
      </c>
      <c r="B44" s="505">
        <v>60101300</v>
      </c>
      <c r="C44" s="500" t="s">
        <v>87</v>
      </c>
      <c r="D44" s="506" t="s">
        <v>88</v>
      </c>
      <c r="E44" s="507" t="s">
        <v>78</v>
      </c>
      <c r="F44" s="434" t="s">
        <v>79</v>
      </c>
      <c r="G44" s="149">
        <v>1</v>
      </c>
      <c r="H44" s="24" t="s">
        <v>89</v>
      </c>
      <c r="I44" s="22">
        <f t="shared" si="1"/>
        <v>21900</v>
      </c>
      <c r="J44" s="23">
        <f t="shared" si="2"/>
        <v>19</v>
      </c>
      <c r="K44" s="169">
        <v>26061</v>
      </c>
      <c r="L44" s="5">
        <f t="shared" si="3"/>
        <v>26061</v>
      </c>
      <c r="M44" s="411">
        <f t="shared" ref="M44" si="34">IFERROR(AVERAGE(L44:L45),"")</f>
        <v>22669.5</v>
      </c>
      <c r="N44" s="411">
        <f>IFERROR(HARMEAN(L44:L45),"")</f>
        <v>22162.110236220473</v>
      </c>
      <c r="O44" s="411">
        <f>IFERROR(MEDIAN(L44:L45),"")</f>
        <v>22669.5</v>
      </c>
      <c r="P44" s="86">
        <f t="shared" si="0"/>
        <v>26061</v>
      </c>
      <c r="Q44" s="413">
        <f>IFERROR(SUM(P44:P45)/COUNTA(K44:K45),"")</f>
        <v>22669.5</v>
      </c>
      <c r="R44" s="411">
        <f>IFERROR(_xlfn.STDEV.S(L44:L45),"")</f>
        <v>4796.3052967883523</v>
      </c>
      <c r="S44" s="415">
        <f>IFERROR(R44/M44,"")</f>
        <v>0.211575257362904</v>
      </c>
      <c r="T44" s="417" t="s">
        <v>2005</v>
      </c>
      <c r="U44" s="407">
        <f>M44</f>
        <v>22669.5</v>
      </c>
      <c r="V44" s="503" t="e" vm="18">
        <v>#VALUE!</v>
      </c>
    </row>
    <row r="45" spans="1:22" ht="45" customHeight="1" x14ac:dyDescent="0.3">
      <c r="A45" s="496"/>
      <c r="B45" s="505">
        <v>23121612</v>
      </c>
      <c r="C45" s="525"/>
      <c r="D45" s="506" t="s">
        <v>90</v>
      </c>
      <c r="E45" s="507"/>
      <c r="F45" s="434"/>
      <c r="G45" s="149">
        <f t="shared" ref="G45" si="35">G44</f>
        <v>1</v>
      </c>
      <c r="H45" s="53" t="s">
        <v>91</v>
      </c>
      <c r="I45" s="22">
        <f t="shared" si="1"/>
        <v>16200</v>
      </c>
      <c r="J45" s="23">
        <f t="shared" si="2"/>
        <v>19</v>
      </c>
      <c r="K45" s="169">
        <v>19278</v>
      </c>
      <c r="L45" s="5">
        <f t="shared" si="3"/>
        <v>19278</v>
      </c>
      <c r="M45" s="412"/>
      <c r="N45" s="412"/>
      <c r="O45" s="412"/>
      <c r="P45" s="86">
        <f t="shared" si="0"/>
        <v>19278</v>
      </c>
      <c r="Q45" s="414"/>
      <c r="R45" s="412"/>
      <c r="S45" s="416"/>
      <c r="T45" s="418"/>
      <c r="U45" s="408"/>
      <c r="V45" s="504"/>
    </row>
    <row r="46" spans="1:22" ht="45" customHeight="1" x14ac:dyDescent="0.3">
      <c r="A46" s="496">
        <v>21</v>
      </c>
      <c r="B46" s="505">
        <v>11151709</v>
      </c>
      <c r="C46" s="506" t="s">
        <v>92</v>
      </c>
      <c r="D46" s="546" t="s">
        <v>93</v>
      </c>
      <c r="E46" s="434" t="s">
        <v>78</v>
      </c>
      <c r="F46" s="434" t="s">
        <v>79</v>
      </c>
      <c r="G46" s="149">
        <v>1</v>
      </c>
      <c r="H46" s="24" t="s">
        <v>45</v>
      </c>
      <c r="I46" s="22">
        <f t="shared" si="1"/>
        <v>8400</v>
      </c>
      <c r="J46" s="23">
        <f t="shared" si="2"/>
        <v>19</v>
      </c>
      <c r="K46" s="169">
        <v>9996</v>
      </c>
      <c r="L46" s="5">
        <f t="shared" si="3"/>
        <v>9996</v>
      </c>
      <c r="M46" s="411">
        <f t="shared" ref="M46" si="36">IFERROR(AVERAGE(L46:L47),"")</f>
        <v>10412.5</v>
      </c>
      <c r="N46" s="411">
        <f>IFERROR(HARMEAN(L46:L47),"")</f>
        <v>10395.84</v>
      </c>
      <c r="O46" s="411">
        <f>IFERROR(MEDIAN(L46:L47),"")</f>
        <v>10412.5</v>
      </c>
      <c r="P46" s="86">
        <f t="shared" si="0"/>
        <v>9996</v>
      </c>
      <c r="Q46" s="413">
        <f>IFERROR(SUM(P46:P47)/COUNTA(K46:K47),"")</f>
        <v>10412.5</v>
      </c>
      <c r="R46" s="411">
        <f>IFERROR(_xlfn.STDEV.S(L46:L47),"")</f>
        <v>589.01994872839407</v>
      </c>
      <c r="S46" s="415">
        <f>IFERROR(R46/M46,"")</f>
        <v>5.6568542494923803E-2</v>
      </c>
      <c r="T46" s="417" t="s">
        <v>2005</v>
      </c>
      <c r="U46" s="407">
        <f>M46</f>
        <v>10412.5</v>
      </c>
      <c r="V46" s="516" t="e" vm="19">
        <v>#VALUE!</v>
      </c>
    </row>
    <row r="47" spans="1:22" ht="45" customHeight="1" x14ac:dyDescent="0.3">
      <c r="A47" s="496"/>
      <c r="B47" s="505"/>
      <c r="C47" s="506"/>
      <c r="D47" s="546"/>
      <c r="E47" s="434"/>
      <c r="F47" s="434"/>
      <c r="G47" s="149">
        <f t="shared" ref="G47" si="37">G46</f>
        <v>1</v>
      </c>
      <c r="H47" s="53" t="s">
        <v>60</v>
      </c>
      <c r="I47" s="22">
        <f t="shared" si="1"/>
        <v>9100</v>
      </c>
      <c r="J47" s="23">
        <f t="shared" si="2"/>
        <v>19</v>
      </c>
      <c r="K47" s="169">
        <v>10829</v>
      </c>
      <c r="L47" s="5">
        <f t="shared" si="3"/>
        <v>10829</v>
      </c>
      <c r="M47" s="412"/>
      <c r="N47" s="412"/>
      <c r="O47" s="412"/>
      <c r="P47" s="86">
        <f t="shared" si="0"/>
        <v>10829</v>
      </c>
      <c r="Q47" s="414"/>
      <c r="R47" s="412"/>
      <c r="S47" s="416"/>
      <c r="T47" s="418"/>
      <c r="U47" s="408"/>
      <c r="V47" s="516"/>
    </row>
    <row r="48" spans="1:22" ht="45" customHeight="1" x14ac:dyDescent="0.3">
      <c r="A48" s="496">
        <v>22</v>
      </c>
      <c r="B48" s="505">
        <v>11151709</v>
      </c>
      <c r="C48" s="506" t="s">
        <v>94</v>
      </c>
      <c r="D48" s="506" t="s">
        <v>95</v>
      </c>
      <c r="E48" s="508" t="s">
        <v>78</v>
      </c>
      <c r="F48" s="435" t="s">
        <v>79</v>
      </c>
      <c r="G48" s="149">
        <v>1</v>
      </c>
      <c r="H48" s="24" t="s">
        <v>96</v>
      </c>
      <c r="I48" s="22">
        <f t="shared" si="1"/>
        <v>8000</v>
      </c>
      <c r="J48" s="23">
        <f t="shared" si="2"/>
        <v>19</v>
      </c>
      <c r="K48" s="169">
        <v>9520</v>
      </c>
      <c r="L48" s="5">
        <f t="shared" si="3"/>
        <v>9520</v>
      </c>
      <c r="M48" s="411">
        <f t="shared" ref="M48" si="38">IFERROR(AVERAGE(L48:L49),"")</f>
        <v>9817.5</v>
      </c>
      <c r="N48" s="411">
        <f>IFERROR(HARMEAN(L48:L49),"")</f>
        <v>9808.484848484848</v>
      </c>
      <c r="O48" s="411">
        <f>IFERROR(MEDIAN(L48:L49),"")</f>
        <v>9817.5</v>
      </c>
      <c r="P48" s="86">
        <f t="shared" si="0"/>
        <v>9520</v>
      </c>
      <c r="Q48" s="413">
        <f>IFERROR(SUM(P48:P49)/COUNTA(K48:K49),"")</f>
        <v>9817.5</v>
      </c>
      <c r="R48" s="411">
        <f>IFERROR(_xlfn.STDEV.S(L48:L49),"")</f>
        <v>420.72853480599576</v>
      </c>
      <c r="S48" s="415">
        <f>IFERROR(R48/M48,"")</f>
        <v>4.2854956435548333E-2</v>
      </c>
      <c r="T48" s="417" t="s">
        <v>2005</v>
      </c>
      <c r="U48" s="407">
        <f>M48</f>
        <v>9817.5</v>
      </c>
      <c r="V48" s="504" t="e" vm="19">
        <v>#VALUE!</v>
      </c>
    </row>
    <row r="49" spans="1:22" ht="45" customHeight="1" x14ac:dyDescent="0.3">
      <c r="A49" s="496"/>
      <c r="B49" s="505"/>
      <c r="C49" s="506"/>
      <c r="D49" s="506"/>
      <c r="E49" s="507"/>
      <c r="F49" s="434"/>
      <c r="G49" s="149">
        <f t="shared" ref="G49" si="39">G48</f>
        <v>1</v>
      </c>
      <c r="H49" s="53" t="s">
        <v>91</v>
      </c>
      <c r="I49" s="22">
        <f t="shared" si="1"/>
        <v>8500</v>
      </c>
      <c r="J49" s="23">
        <f t="shared" si="2"/>
        <v>19</v>
      </c>
      <c r="K49" s="169">
        <v>10115</v>
      </c>
      <c r="L49" s="5">
        <f t="shared" si="3"/>
        <v>10115</v>
      </c>
      <c r="M49" s="412"/>
      <c r="N49" s="412"/>
      <c r="O49" s="412"/>
      <c r="P49" s="86">
        <f t="shared" si="0"/>
        <v>10115</v>
      </c>
      <c r="Q49" s="414"/>
      <c r="R49" s="412"/>
      <c r="S49" s="416"/>
      <c r="T49" s="418"/>
      <c r="U49" s="408"/>
      <c r="V49" s="504"/>
    </row>
    <row r="50" spans="1:22" ht="45" customHeight="1" x14ac:dyDescent="0.3">
      <c r="A50" s="496">
        <v>23</v>
      </c>
      <c r="B50" s="505">
        <v>11151709</v>
      </c>
      <c r="C50" s="506" t="s">
        <v>97</v>
      </c>
      <c r="D50" s="506" t="s">
        <v>98</v>
      </c>
      <c r="E50" s="507" t="s">
        <v>78</v>
      </c>
      <c r="F50" s="434" t="s">
        <v>79</v>
      </c>
      <c r="G50" s="149">
        <v>1</v>
      </c>
      <c r="H50" s="24" t="s">
        <v>81</v>
      </c>
      <c r="I50" s="22">
        <f t="shared" si="1"/>
        <v>10000</v>
      </c>
      <c r="J50" s="23">
        <f t="shared" si="2"/>
        <v>19</v>
      </c>
      <c r="K50" s="169">
        <v>11900</v>
      </c>
      <c r="L50" s="5">
        <f t="shared" si="3"/>
        <v>11900</v>
      </c>
      <c r="M50" s="411">
        <f t="shared" ref="M50" si="40">IFERROR(AVERAGE(L50:L51),"")</f>
        <v>12197.5</v>
      </c>
      <c r="N50" s="411">
        <f>IFERROR(HARMEAN(L50:L51),"")</f>
        <v>12190.243902439024</v>
      </c>
      <c r="O50" s="411">
        <f>IFERROR(MEDIAN(L50:L51),"")</f>
        <v>12197.5</v>
      </c>
      <c r="P50" s="86">
        <f t="shared" si="0"/>
        <v>11900</v>
      </c>
      <c r="Q50" s="413">
        <f>IFERROR(SUM(P50:P51)/COUNTA(K50:K51),"")</f>
        <v>12197.5</v>
      </c>
      <c r="R50" s="411">
        <f>IFERROR(_xlfn.STDEV.S(L50:L51),"")</f>
        <v>420.72853480599576</v>
      </c>
      <c r="S50" s="415">
        <f>IFERROR(R50/M50,"")</f>
        <v>3.449301371641695E-2</v>
      </c>
      <c r="T50" s="417" t="s">
        <v>2005</v>
      </c>
      <c r="U50" s="407">
        <f>M50</f>
        <v>12197.5</v>
      </c>
      <c r="V50" s="503" t="e" vm="19">
        <v>#VALUE!</v>
      </c>
    </row>
    <row r="51" spans="1:22" ht="45" customHeight="1" x14ac:dyDescent="0.3">
      <c r="A51" s="496"/>
      <c r="B51" s="505"/>
      <c r="C51" s="506"/>
      <c r="D51" s="506"/>
      <c r="E51" s="507"/>
      <c r="F51" s="434"/>
      <c r="G51" s="149">
        <f t="shared" ref="G51" si="41">G50</f>
        <v>1</v>
      </c>
      <c r="H51" s="53" t="s">
        <v>96</v>
      </c>
      <c r="I51" s="22">
        <f t="shared" si="1"/>
        <v>10500</v>
      </c>
      <c r="J51" s="23">
        <f t="shared" si="2"/>
        <v>19</v>
      </c>
      <c r="K51" s="169">
        <v>12495</v>
      </c>
      <c r="L51" s="5">
        <f t="shared" si="3"/>
        <v>12495</v>
      </c>
      <c r="M51" s="412"/>
      <c r="N51" s="412"/>
      <c r="O51" s="412"/>
      <c r="P51" s="86">
        <f t="shared" si="0"/>
        <v>12495</v>
      </c>
      <c r="Q51" s="414"/>
      <c r="R51" s="412"/>
      <c r="S51" s="416"/>
      <c r="T51" s="418"/>
      <c r="U51" s="408"/>
      <c r="V51" s="504"/>
    </row>
    <row r="52" spans="1:22" ht="45" customHeight="1" x14ac:dyDescent="0.3">
      <c r="A52" s="496">
        <v>24</v>
      </c>
      <c r="B52" s="505">
        <v>11151703</v>
      </c>
      <c r="C52" s="506" t="s">
        <v>99</v>
      </c>
      <c r="D52" s="506" t="s">
        <v>100</v>
      </c>
      <c r="E52" s="507" t="s">
        <v>78</v>
      </c>
      <c r="F52" s="434" t="s">
        <v>79</v>
      </c>
      <c r="G52" s="149">
        <v>1</v>
      </c>
      <c r="H52" s="24" t="s">
        <v>101</v>
      </c>
      <c r="I52" s="22">
        <f t="shared" si="1"/>
        <v>95020</v>
      </c>
      <c r="J52" s="23">
        <f t="shared" si="2"/>
        <v>19.000000000000004</v>
      </c>
      <c r="K52" s="169">
        <v>113073.8</v>
      </c>
      <c r="L52" s="5">
        <f t="shared" si="3"/>
        <v>113073.8</v>
      </c>
      <c r="M52" s="411">
        <f t="shared" ref="M52" si="42">IFERROR(AVERAGE(L52:L53),"")</f>
        <v>91969.744999999995</v>
      </c>
      <c r="N52" s="411">
        <f>IFERROR(HARMEAN(L52:L53),"")</f>
        <v>87127.053118631564</v>
      </c>
      <c r="O52" s="411">
        <f>IFERROR(MEDIAN(L52:L53),"")</f>
        <v>91969.744999999995</v>
      </c>
      <c r="P52" s="86">
        <f t="shared" si="0"/>
        <v>113073.8</v>
      </c>
      <c r="Q52" s="413">
        <f>IFERROR(SUM(P52:P53)/COUNTA(K52:K53),"")</f>
        <v>91969.744999999995</v>
      </c>
      <c r="R52" s="411">
        <f>IFERROR(_xlfn.STDEV.S(L52:L53),"")</f>
        <v>29845.640802067748</v>
      </c>
      <c r="S52" s="415">
        <f>IFERROR(R52/M52,"")</f>
        <v>0.32451585901502444</v>
      </c>
      <c r="T52" s="417" t="s">
        <v>2005</v>
      </c>
      <c r="U52" s="407">
        <f>M52</f>
        <v>91969.744999999995</v>
      </c>
      <c r="V52" s="503" t="e" vm="20">
        <v>#VALUE!</v>
      </c>
    </row>
    <row r="53" spans="1:22" ht="45" customHeight="1" x14ac:dyDescent="0.3">
      <c r="A53" s="496"/>
      <c r="B53" s="505"/>
      <c r="C53" s="506"/>
      <c r="D53" s="506"/>
      <c r="E53" s="507"/>
      <c r="F53" s="434"/>
      <c r="G53" s="149">
        <f t="shared" ref="G53" si="43">G52</f>
        <v>1</v>
      </c>
      <c r="H53" s="53" t="s">
        <v>67</v>
      </c>
      <c r="I53" s="22">
        <f t="shared" si="1"/>
        <v>59551.000000000007</v>
      </c>
      <c r="J53" s="23">
        <f t="shared" si="2"/>
        <v>18.999999999999989</v>
      </c>
      <c r="K53" s="169">
        <v>70865.69</v>
      </c>
      <c r="L53" s="5">
        <f t="shared" si="3"/>
        <v>70865.69</v>
      </c>
      <c r="M53" s="412"/>
      <c r="N53" s="412"/>
      <c r="O53" s="412"/>
      <c r="P53" s="86">
        <f t="shared" si="0"/>
        <v>70865.69</v>
      </c>
      <c r="Q53" s="414"/>
      <c r="R53" s="412"/>
      <c r="S53" s="416"/>
      <c r="T53" s="418"/>
      <c r="U53" s="408"/>
      <c r="V53" s="504"/>
    </row>
    <row r="54" spans="1:22" ht="45" customHeight="1" x14ac:dyDescent="0.3">
      <c r="A54" s="496">
        <v>25</v>
      </c>
      <c r="B54" s="505">
        <v>31211709</v>
      </c>
      <c r="C54" s="506" t="s">
        <v>102</v>
      </c>
      <c r="D54" s="506" t="s">
        <v>103</v>
      </c>
      <c r="E54" s="507" t="s">
        <v>70</v>
      </c>
      <c r="F54" s="434" t="s">
        <v>104</v>
      </c>
      <c r="G54" s="149">
        <v>1</v>
      </c>
      <c r="H54" s="24" t="s">
        <v>248</v>
      </c>
      <c r="I54" s="22">
        <f t="shared" si="1"/>
        <v>8403.361344537816</v>
      </c>
      <c r="J54" s="23">
        <f t="shared" si="2"/>
        <v>18.999999999999989</v>
      </c>
      <c r="K54" s="22">
        <v>10000</v>
      </c>
      <c r="L54" s="5">
        <f t="shared" si="3"/>
        <v>10000</v>
      </c>
      <c r="M54" s="411">
        <f t="shared" ref="M54" si="44">IFERROR(AVERAGE(L54:L55),"")</f>
        <v>10200</v>
      </c>
      <c r="N54" s="411">
        <f>IFERROR(HARMEAN(L54:L55),"")</f>
        <v>10196.078431372549</v>
      </c>
      <c r="O54" s="411">
        <f>IFERROR(MEDIAN(L54:L55),"")</f>
        <v>10200</v>
      </c>
      <c r="P54" s="86">
        <f t="shared" si="0"/>
        <v>10000</v>
      </c>
      <c r="Q54" s="413">
        <f>IFERROR(SUM(P54:P55)/COUNTA(K54:K55),"")</f>
        <v>10200</v>
      </c>
      <c r="R54" s="411">
        <f>IFERROR(_xlfn.STDEV.S(L54:L55),"")</f>
        <v>282.84271247461902</v>
      </c>
      <c r="S54" s="415">
        <f>IFERROR(R54/M54,"")</f>
        <v>2.77296776935901E-2</v>
      </c>
      <c r="T54" s="417" t="s">
        <v>2005</v>
      </c>
      <c r="U54" s="407">
        <f>M54</f>
        <v>10200</v>
      </c>
      <c r="V54" s="503" t="e" vm="21">
        <v>#VALUE!</v>
      </c>
    </row>
    <row r="55" spans="1:22" ht="45" customHeight="1" x14ac:dyDescent="0.3">
      <c r="A55" s="496"/>
      <c r="B55" s="505"/>
      <c r="C55" s="506"/>
      <c r="D55" s="506"/>
      <c r="E55" s="507"/>
      <c r="F55" s="434"/>
      <c r="G55" s="149">
        <f t="shared" ref="G55" si="45">G54</f>
        <v>1</v>
      </c>
      <c r="H55" s="53" t="s">
        <v>91</v>
      </c>
      <c r="I55" s="22">
        <f t="shared" si="1"/>
        <v>8739.495798319329</v>
      </c>
      <c r="J55" s="23">
        <f t="shared" si="2"/>
        <v>18.999999999999982</v>
      </c>
      <c r="K55" s="22">
        <v>10400</v>
      </c>
      <c r="L55" s="5">
        <f t="shared" si="3"/>
        <v>10400</v>
      </c>
      <c r="M55" s="412"/>
      <c r="N55" s="412"/>
      <c r="O55" s="412"/>
      <c r="P55" s="86">
        <f t="shared" si="0"/>
        <v>10400</v>
      </c>
      <c r="Q55" s="414"/>
      <c r="R55" s="412"/>
      <c r="S55" s="416"/>
      <c r="T55" s="418"/>
      <c r="U55" s="408"/>
      <c r="V55" s="504"/>
    </row>
    <row r="56" spans="1:22" ht="45" customHeight="1" x14ac:dyDescent="0.3">
      <c r="A56" s="496">
        <v>26</v>
      </c>
      <c r="B56" s="505">
        <v>31211709</v>
      </c>
      <c r="C56" s="506" t="s">
        <v>105</v>
      </c>
      <c r="D56" s="506" t="s">
        <v>2012</v>
      </c>
      <c r="E56" s="507" t="s">
        <v>70</v>
      </c>
      <c r="F56" s="434" t="s">
        <v>104</v>
      </c>
      <c r="G56" s="149">
        <v>1</v>
      </c>
      <c r="H56" s="53" t="s">
        <v>2013</v>
      </c>
      <c r="I56" s="22">
        <f t="shared" si="1"/>
        <v>11092.436974789916</v>
      </c>
      <c r="J56" s="23">
        <f t="shared" si="2"/>
        <v>18.999999999999993</v>
      </c>
      <c r="K56" s="22">
        <v>13200</v>
      </c>
      <c r="L56" s="5">
        <f t="shared" si="3"/>
        <v>13200</v>
      </c>
      <c r="M56" s="411">
        <f t="shared" ref="M56" si="46">IFERROR(AVERAGE(L56:L57),"")</f>
        <v>12375</v>
      </c>
      <c r="N56" s="411">
        <f>IFERROR(HARMEAN(L56:L57),"")</f>
        <v>12320</v>
      </c>
      <c r="O56" s="411">
        <f>IFERROR(MEDIAN(L56:L57),"")</f>
        <v>12375</v>
      </c>
      <c r="P56" s="86">
        <f t="shared" si="0"/>
        <v>13200</v>
      </c>
      <c r="Q56" s="413">
        <f>IFERROR(SUM(P56:P57)/COUNTA(K56:K57),"")</f>
        <v>12375</v>
      </c>
      <c r="R56" s="411">
        <f>IFERROR(_xlfn.STDEV.S(L56:L57),"")</f>
        <v>1166.7261889578035</v>
      </c>
      <c r="S56" s="415">
        <f>IFERROR(R56/M56,"")</f>
        <v>9.428090415820635E-2</v>
      </c>
      <c r="T56" s="417" t="s">
        <v>2005</v>
      </c>
      <c r="U56" s="407">
        <f>M56</f>
        <v>12375</v>
      </c>
      <c r="V56" s="503" t="e" vm="22">
        <v>#VALUE!</v>
      </c>
    </row>
    <row r="57" spans="1:22" ht="45" customHeight="1" x14ac:dyDescent="0.3">
      <c r="A57" s="496"/>
      <c r="B57" s="505"/>
      <c r="C57" s="506"/>
      <c r="D57" s="506"/>
      <c r="E57" s="507"/>
      <c r="F57" s="434"/>
      <c r="G57" s="149">
        <f t="shared" ref="G57" si="47">G56</f>
        <v>1</v>
      </c>
      <c r="H57" s="53" t="s">
        <v>91</v>
      </c>
      <c r="I57" s="22">
        <f t="shared" si="1"/>
        <v>9705.8823529411766</v>
      </c>
      <c r="J57" s="23">
        <f t="shared" si="2"/>
        <v>18.999999999999996</v>
      </c>
      <c r="K57" s="22">
        <v>11550</v>
      </c>
      <c r="L57" s="5">
        <f t="shared" si="3"/>
        <v>11550</v>
      </c>
      <c r="M57" s="412"/>
      <c r="N57" s="412"/>
      <c r="O57" s="412"/>
      <c r="P57" s="86">
        <f t="shared" si="0"/>
        <v>11550</v>
      </c>
      <c r="Q57" s="414"/>
      <c r="R57" s="412"/>
      <c r="S57" s="416"/>
      <c r="T57" s="418"/>
      <c r="U57" s="408"/>
      <c r="V57" s="504"/>
    </row>
    <row r="58" spans="1:22" ht="45" customHeight="1" x14ac:dyDescent="0.3">
      <c r="A58" s="496">
        <v>27</v>
      </c>
      <c r="B58" s="505">
        <v>41104210</v>
      </c>
      <c r="C58" s="506" t="s">
        <v>106</v>
      </c>
      <c r="D58" s="506" t="s">
        <v>107</v>
      </c>
      <c r="E58" s="507" t="s">
        <v>108</v>
      </c>
      <c r="F58" s="434" t="s">
        <v>460</v>
      </c>
      <c r="G58" s="149">
        <v>1</v>
      </c>
      <c r="H58" s="24" t="s">
        <v>73</v>
      </c>
      <c r="I58" s="22">
        <f t="shared" si="1"/>
        <v>78900</v>
      </c>
      <c r="J58" s="23">
        <f t="shared" si="2"/>
        <v>19</v>
      </c>
      <c r="K58" s="169">
        <v>93891</v>
      </c>
      <c r="L58" s="5">
        <f t="shared" si="3"/>
        <v>93891</v>
      </c>
      <c r="M58" s="411">
        <f t="shared" ref="M58" si="48">IFERROR(AVERAGE(L58:L59),"")</f>
        <v>94815.63</v>
      </c>
      <c r="N58" s="411">
        <f>IFERROR(HARMEAN(L58:L59),"")</f>
        <v>94806.613125494172</v>
      </c>
      <c r="O58" s="411">
        <f>IFERROR(MEDIAN(L58:L59),"")</f>
        <v>94815.63</v>
      </c>
      <c r="P58" s="86">
        <f t="shared" si="0"/>
        <v>93891</v>
      </c>
      <c r="Q58" s="413">
        <f>IFERROR(SUM(P58:P59)/COUNTA(K58:K59),"")</f>
        <v>94815.63</v>
      </c>
      <c r="R58" s="411">
        <f>IFERROR(_xlfn.STDEV.S(L58:L59),"")</f>
        <v>1307.6242861770311</v>
      </c>
      <c r="S58" s="415">
        <f>IFERROR(R58/M58,"")</f>
        <v>1.3791231321007211E-2</v>
      </c>
      <c r="T58" s="417" t="s">
        <v>2005</v>
      </c>
      <c r="U58" s="407">
        <f>M58</f>
        <v>94815.63</v>
      </c>
      <c r="V58" s="503" t="e" vm="23">
        <v>#VALUE!</v>
      </c>
    </row>
    <row r="59" spans="1:22" ht="45" customHeight="1" x14ac:dyDescent="0.3">
      <c r="A59" s="496"/>
      <c r="B59" s="505"/>
      <c r="C59" s="506"/>
      <c r="D59" s="506"/>
      <c r="E59" s="507"/>
      <c r="F59" s="434"/>
      <c r="G59" s="149">
        <f t="shared" ref="G59" si="49">G58</f>
        <v>1</v>
      </c>
      <c r="H59" s="53" t="s">
        <v>109</v>
      </c>
      <c r="I59" s="22">
        <f t="shared" si="1"/>
        <v>80454</v>
      </c>
      <c r="J59" s="23">
        <f t="shared" si="2"/>
        <v>18.999999999999993</v>
      </c>
      <c r="K59" s="169">
        <v>95740.26</v>
      </c>
      <c r="L59" s="5">
        <f t="shared" si="3"/>
        <v>95740.26</v>
      </c>
      <c r="M59" s="412"/>
      <c r="N59" s="412"/>
      <c r="O59" s="412"/>
      <c r="P59" s="86">
        <f t="shared" si="0"/>
        <v>95740.26</v>
      </c>
      <c r="Q59" s="414"/>
      <c r="R59" s="412"/>
      <c r="S59" s="416"/>
      <c r="T59" s="418"/>
      <c r="U59" s="408"/>
      <c r="V59" s="504"/>
    </row>
    <row r="60" spans="1:22" ht="45" customHeight="1" x14ac:dyDescent="0.3">
      <c r="A60" s="496">
        <v>28</v>
      </c>
      <c r="B60" s="505">
        <v>47131820</v>
      </c>
      <c r="C60" s="506" t="s">
        <v>110</v>
      </c>
      <c r="D60" s="506" t="s">
        <v>111</v>
      </c>
      <c r="E60" s="508" t="s">
        <v>70</v>
      </c>
      <c r="F60" s="435" t="s">
        <v>460</v>
      </c>
      <c r="G60" s="149">
        <v>1</v>
      </c>
      <c r="H60" s="24" t="s">
        <v>91</v>
      </c>
      <c r="I60" s="22">
        <f t="shared" si="1"/>
        <v>57200</v>
      </c>
      <c r="J60" s="23">
        <f t="shared" si="2"/>
        <v>19</v>
      </c>
      <c r="K60" s="169">
        <v>68068</v>
      </c>
      <c r="L60" s="5">
        <f t="shared" si="3"/>
        <v>68068</v>
      </c>
      <c r="M60" s="411">
        <f t="shared" ref="M60" si="50">IFERROR(AVERAGE(L60:L61),"")</f>
        <v>53193</v>
      </c>
      <c r="N60" s="411">
        <f>IFERROR(HARMEAN(L60:L61),"")</f>
        <v>49033.324384787469</v>
      </c>
      <c r="O60" s="411">
        <f>IFERROR(MEDIAN(L60:L61),"")</f>
        <v>53193</v>
      </c>
      <c r="P60" s="86">
        <f t="shared" si="0"/>
        <v>68068</v>
      </c>
      <c r="Q60" s="413">
        <f>IFERROR(SUM(P60:P61)/COUNTA(K60:K61),"")</f>
        <v>53193</v>
      </c>
      <c r="R60" s="411">
        <f>IFERROR(_xlfn.STDEV.S(L60:L61),"")</f>
        <v>21036.42674029979</v>
      </c>
      <c r="S60" s="415">
        <f>IFERROR(R60/M60,"")</f>
        <v>0.39547359126764403</v>
      </c>
      <c r="T60" s="417" t="s">
        <v>2005</v>
      </c>
      <c r="U60" s="407">
        <f t="shared" ref="U60:U123" si="51">M60</f>
        <v>53193</v>
      </c>
      <c r="V60" s="503" t="e" vm="24">
        <v>#VALUE!</v>
      </c>
    </row>
    <row r="61" spans="1:22" ht="45" customHeight="1" x14ac:dyDescent="0.3">
      <c r="A61" s="496"/>
      <c r="B61" s="505"/>
      <c r="C61" s="506"/>
      <c r="D61" s="506"/>
      <c r="E61" s="507"/>
      <c r="F61" s="434"/>
      <c r="G61" s="149">
        <f t="shared" ref="G61" si="52">G60</f>
        <v>1</v>
      </c>
      <c r="H61" s="53" t="s">
        <v>112</v>
      </c>
      <c r="I61" s="22">
        <f t="shared" si="1"/>
        <v>32200</v>
      </c>
      <c r="J61" s="23">
        <f t="shared" si="2"/>
        <v>19</v>
      </c>
      <c r="K61" s="169">
        <v>38318</v>
      </c>
      <c r="L61" s="5">
        <f t="shared" si="3"/>
        <v>38318</v>
      </c>
      <c r="M61" s="412"/>
      <c r="N61" s="412"/>
      <c r="O61" s="412"/>
      <c r="P61" s="86">
        <f t="shared" si="0"/>
        <v>38318</v>
      </c>
      <c r="Q61" s="414"/>
      <c r="R61" s="412"/>
      <c r="S61" s="416"/>
      <c r="T61" s="418"/>
      <c r="U61" s="408">
        <f t="shared" si="51"/>
        <v>0</v>
      </c>
      <c r="V61" s="504"/>
    </row>
    <row r="62" spans="1:22" ht="45" customHeight="1" x14ac:dyDescent="0.3">
      <c r="A62" s="496">
        <v>29</v>
      </c>
      <c r="B62" s="505">
        <v>30152100</v>
      </c>
      <c r="C62" s="506" t="s">
        <v>113</v>
      </c>
      <c r="D62" s="506" t="s">
        <v>114</v>
      </c>
      <c r="E62" s="507" t="s">
        <v>78</v>
      </c>
      <c r="F62" s="434" t="s">
        <v>79</v>
      </c>
      <c r="G62" s="149">
        <v>1</v>
      </c>
      <c r="H62" s="24" t="s">
        <v>2014</v>
      </c>
      <c r="I62" s="22">
        <f t="shared" si="1"/>
        <v>10504.20168067227</v>
      </c>
      <c r="J62" s="23">
        <f t="shared" si="2"/>
        <v>18.999999999999993</v>
      </c>
      <c r="K62" s="22">
        <v>12500</v>
      </c>
      <c r="L62" s="5">
        <f t="shared" si="3"/>
        <v>12500</v>
      </c>
      <c r="M62" s="411">
        <f t="shared" ref="M62" si="53">IFERROR(AVERAGE(L62:L63),"")</f>
        <v>13750</v>
      </c>
      <c r="N62" s="411">
        <f>IFERROR(HARMEAN(L62:L63),"")</f>
        <v>13636.363636363634</v>
      </c>
      <c r="O62" s="411">
        <f>IFERROR(MEDIAN(L62:L63),"")</f>
        <v>13750</v>
      </c>
      <c r="P62" s="86">
        <f t="shared" si="0"/>
        <v>12500</v>
      </c>
      <c r="Q62" s="413">
        <f>IFERROR(SUM(P62:P63)/COUNTA(K62:K63),"")</f>
        <v>13750</v>
      </c>
      <c r="R62" s="411">
        <f>IFERROR(_xlfn.STDEV.S(L62:L63),"")</f>
        <v>1767.7669529663688</v>
      </c>
      <c r="S62" s="415">
        <f>IFERROR(R62/M62,"")</f>
        <v>0.12856486930664501</v>
      </c>
      <c r="T62" s="417" t="s">
        <v>2005</v>
      </c>
      <c r="U62" s="407">
        <f t="shared" si="51"/>
        <v>13750</v>
      </c>
      <c r="V62" s="503" t="e" vm="25">
        <v>#VALUE!</v>
      </c>
    </row>
    <row r="63" spans="1:22" ht="45" customHeight="1" x14ac:dyDescent="0.3">
      <c r="A63" s="496"/>
      <c r="B63" s="505"/>
      <c r="C63" s="506"/>
      <c r="D63" s="506"/>
      <c r="E63" s="507"/>
      <c r="F63" s="434"/>
      <c r="G63" s="149">
        <f t="shared" ref="G63" si="54">G62</f>
        <v>1</v>
      </c>
      <c r="H63" s="53" t="s">
        <v>248</v>
      </c>
      <c r="I63" s="22">
        <f t="shared" si="1"/>
        <v>12605.042016806723</v>
      </c>
      <c r="J63" s="23">
        <f t="shared" si="2"/>
        <v>18.999999999999996</v>
      </c>
      <c r="K63" s="22">
        <v>15000</v>
      </c>
      <c r="L63" s="5">
        <f t="shared" si="3"/>
        <v>15000</v>
      </c>
      <c r="M63" s="412"/>
      <c r="N63" s="412"/>
      <c r="O63" s="412"/>
      <c r="P63" s="86">
        <f t="shared" si="0"/>
        <v>15000</v>
      </c>
      <c r="Q63" s="414"/>
      <c r="R63" s="412"/>
      <c r="S63" s="416"/>
      <c r="T63" s="418"/>
      <c r="U63" s="408">
        <f t="shared" si="51"/>
        <v>0</v>
      </c>
      <c r="V63" s="504"/>
    </row>
    <row r="64" spans="1:22" ht="45" customHeight="1" x14ac:dyDescent="0.3">
      <c r="A64" s="496">
        <v>30</v>
      </c>
      <c r="B64" s="505">
        <v>27111533</v>
      </c>
      <c r="C64" s="506" t="s">
        <v>115</v>
      </c>
      <c r="D64" s="548" t="s">
        <v>2015</v>
      </c>
      <c r="E64" s="507" t="s">
        <v>78</v>
      </c>
      <c r="F64" s="434" t="s">
        <v>79</v>
      </c>
      <c r="G64" s="149">
        <v>1</v>
      </c>
      <c r="H64" s="24" t="s">
        <v>80</v>
      </c>
      <c r="I64" s="22">
        <f t="shared" si="1"/>
        <v>17236</v>
      </c>
      <c r="J64" s="23">
        <f t="shared" si="2"/>
        <v>19</v>
      </c>
      <c r="K64" s="169">
        <v>20510.84</v>
      </c>
      <c r="L64" s="5">
        <f t="shared" si="3"/>
        <v>20510.84</v>
      </c>
      <c r="M64" s="411">
        <f t="shared" ref="M64" si="55">IFERROR(AVERAGE(L64:L65),"")</f>
        <v>24535.42</v>
      </c>
      <c r="N64" s="411">
        <f>IFERROR(HARMEAN(L64:L65),"")</f>
        <v>23875.262392084584</v>
      </c>
      <c r="O64" s="411">
        <f>IFERROR(MEDIAN(L64:L65),"")</f>
        <v>24535.42</v>
      </c>
      <c r="P64" s="86">
        <f t="shared" si="0"/>
        <v>20510.84</v>
      </c>
      <c r="Q64" s="413">
        <f>IFERROR(SUM(P64:P65)/COUNTA(K64:K65),"")</f>
        <v>24535.42</v>
      </c>
      <c r="R64" s="411">
        <f>IFERROR(_xlfn.STDEV.S(L64:L65),"")</f>
        <v>5691.6156188555224</v>
      </c>
      <c r="S64" s="415">
        <f>IFERROR(R64/M64,"")</f>
        <v>0.23197547133309815</v>
      </c>
      <c r="T64" s="417" t="s">
        <v>2005</v>
      </c>
      <c r="U64" s="407">
        <f t="shared" si="51"/>
        <v>24535.42</v>
      </c>
      <c r="V64" s="503" t="e" vm="26">
        <v>#VALUE!</v>
      </c>
    </row>
    <row r="65" spans="1:22" ht="45" customHeight="1" x14ac:dyDescent="0.3">
      <c r="A65" s="496"/>
      <c r="B65" s="505"/>
      <c r="C65" s="506"/>
      <c r="D65" s="506"/>
      <c r="E65" s="507"/>
      <c r="F65" s="434"/>
      <c r="G65" s="149">
        <f t="shared" ref="G65" si="56">G64</f>
        <v>1</v>
      </c>
      <c r="H65" s="53" t="s">
        <v>116</v>
      </c>
      <c r="I65" s="22">
        <f t="shared" si="1"/>
        <v>24000</v>
      </c>
      <c r="J65" s="23">
        <f t="shared" si="2"/>
        <v>19</v>
      </c>
      <c r="K65" s="169">
        <v>28560</v>
      </c>
      <c r="L65" s="5">
        <f t="shared" si="3"/>
        <v>28560</v>
      </c>
      <c r="M65" s="412"/>
      <c r="N65" s="412"/>
      <c r="O65" s="412"/>
      <c r="P65" s="86">
        <f t="shared" si="0"/>
        <v>28560</v>
      </c>
      <c r="Q65" s="414"/>
      <c r="R65" s="412"/>
      <c r="S65" s="416"/>
      <c r="T65" s="418"/>
      <c r="U65" s="408">
        <f t="shared" si="51"/>
        <v>0</v>
      </c>
      <c r="V65" s="504"/>
    </row>
    <row r="66" spans="1:22" ht="45" customHeight="1" x14ac:dyDescent="0.3">
      <c r="A66" s="496">
        <v>31</v>
      </c>
      <c r="B66" s="505">
        <v>27111801</v>
      </c>
      <c r="C66" s="506" t="s">
        <v>117</v>
      </c>
      <c r="D66" s="506" t="s">
        <v>118</v>
      </c>
      <c r="E66" s="507" t="s">
        <v>78</v>
      </c>
      <c r="F66" s="434" t="s">
        <v>79</v>
      </c>
      <c r="G66" s="149">
        <v>1</v>
      </c>
      <c r="H66" s="24" t="s">
        <v>49</v>
      </c>
      <c r="I66" s="22">
        <f t="shared" si="1"/>
        <v>3000</v>
      </c>
      <c r="J66" s="23">
        <f t="shared" si="2"/>
        <v>19</v>
      </c>
      <c r="K66" s="169">
        <v>3570</v>
      </c>
      <c r="L66" s="5">
        <f t="shared" si="3"/>
        <v>3570</v>
      </c>
      <c r="M66" s="411">
        <f t="shared" ref="M66" si="57">IFERROR(AVERAGE(L66:L67),"")</f>
        <v>4760</v>
      </c>
      <c r="N66" s="411">
        <f>IFERROR(HARMEAN(L66:L67),"")</f>
        <v>4462.5</v>
      </c>
      <c r="O66" s="411">
        <f>IFERROR(MEDIAN(L66:L67),"")</f>
        <v>4760</v>
      </c>
      <c r="P66" s="86">
        <f t="shared" si="0"/>
        <v>3570</v>
      </c>
      <c r="Q66" s="413">
        <f>IFERROR(SUM(P66:P67)/COUNTA(K66:K67),"")</f>
        <v>4760</v>
      </c>
      <c r="R66" s="411">
        <f>IFERROR(_xlfn.STDEV.S(L66:L67),"")</f>
        <v>1682.9141392239831</v>
      </c>
      <c r="S66" s="415">
        <f>IFERROR(R66/M66,"")</f>
        <v>0.35355339059327373</v>
      </c>
      <c r="T66" s="417" t="s">
        <v>2005</v>
      </c>
      <c r="U66" s="407">
        <f t="shared" si="51"/>
        <v>4760</v>
      </c>
      <c r="V66" s="503" t="e" vm="27">
        <v>#VALUE!</v>
      </c>
    </row>
    <row r="67" spans="1:22" ht="45" customHeight="1" x14ac:dyDescent="0.3">
      <c r="A67" s="496"/>
      <c r="B67" s="505"/>
      <c r="C67" s="506"/>
      <c r="D67" s="506"/>
      <c r="E67" s="507"/>
      <c r="F67" s="434"/>
      <c r="G67" s="149">
        <f t="shared" ref="G67" si="58">G66</f>
        <v>1</v>
      </c>
      <c r="H67" s="53" t="s">
        <v>119</v>
      </c>
      <c r="I67" s="22">
        <f t="shared" si="1"/>
        <v>5000</v>
      </c>
      <c r="J67" s="23">
        <f t="shared" si="2"/>
        <v>19</v>
      </c>
      <c r="K67" s="169">
        <v>5950</v>
      </c>
      <c r="L67" s="5">
        <f t="shared" si="3"/>
        <v>5950</v>
      </c>
      <c r="M67" s="412"/>
      <c r="N67" s="412"/>
      <c r="O67" s="412"/>
      <c r="P67" s="86">
        <f t="shared" si="0"/>
        <v>5950</v>
      </c>
      <c r="Q67" s="414"/>
      <c r="R67" s="412"/>
      <c r="S67" s="416"/>
      <c r="T67" s="418"/>
      <c r="U67" s="408">
        <f t="shared" si="51"/>
        <v>0</v>
      </c>
      <c r="V67" s="504"/>
    </row>
    <row r="68" spans="1:22" ht="45" customHeight="1" x14ac:dyDescent="0.3">
      <c r="A68" s="496">
        <v>32</v>
      </c>
      <c r="B68" s="505">
        <v>23150000</v>
      </c>
      <c r="C68" s="506" t="s">
        <v>120</v>
      </c>
      <c r="D68" s="506" t="s">
        <v>121</v>
      </c>
      <c r="E68" s="507" t="s">
        <v>78</v>
      </c>
      <c r="F68" s="434" t="s">
        <v>79</v>
      </c>
      <c r="G68" s="149">
        <v>1</v>
      </c>
      <c r="H68" s="24" t="s">
        <v>122</v>
      </c>
      <c r="I68" s="22">
        <f t="shared" si="1"/>
        <v>119802.00000000001</v>
      </c>
      <c r="J68" s="23">
        <f t="shared" si="2"/>
        <v>18.999999999999989</v>
      </c>
      <c r="K68" s="169">
        <v>142564.38</v>
      </c>
      <c r="L68" s="5">
        <f t="shared" si="3"/>
        <v>142564.38</v>
      </c>
      <c r="M68" s="411">
        <f t="shared" ref="M68" si="59">IFERROR(AVERAGE(L68:L69),"")</f>
        <v>143258.15000000002</v>
      </c>
      <c r="N68" s="411">
        <f>IFERROR(HARMEAN(L68:L69),"")</f>
        <v>143254.79021339869</v>
      </c>
      <c r="O68" s="411">
        <f>IFERROR(MEDIAN(L68:L69),"")</f>
        <v>143258.15000000002</v>
      </c>
      <c r="P68" s="86">
        <f t="shared" si="0"/>
        <v>142564.38</v>
      </c>
      <c r="Q68" s="413">
        <f>IFERROR(SUM(P68:P69)/COUNTA(K68:K69),"")</f>
        <v>143258.15000000002</v>
      </c>
      <c r="R68" s="411">
        <f>IFERROR(_xlfn.STDEV.S(L68:L69),"")</f>
        <v>981.13894316758797</v>
      </c>
      <c r="S68" s="415">
        <f>IFERROR(R68/M68,"")</f>
        <v>6.848747824592093E-3</v>
      </c>
      <c r="T68" s="417" t="s">
        <v>2005</v>
      </c>
      <c r="U68" s="407">
        <f t="shared" si="51"/>
        <v>143258.15000000002</v>
      </c>
      <c r="V68" s="503" t="e" vm="28">
        <v>#VALUE!</v>
      </c>
    </row>
    <row r="69" spans="1:22" ht="45" customHeight="1" x14ac:dyDescent="0.3">
      <c r="A69" s="496"/>
      <c r="B69" s="505"/>
      <c r="C69" s="506"/>
      <c r="D69" s="506"/>
      <c r="E69" s="507"/>
      <c r="F69" s="434"/>
      <c r="G69" s="149">
        <f t="shared" ref="G69" si="60">G68</f>
        <v>1</v>
      </c>
      <c r="H69" s="53" t="s">
        <v>122</v>
      </c>
      <c r="I69" s="22">
        <f t="shared" si="1"/>
        <v>120968.00000000001</v>
      </c>
      <c r="J69" s="23">
        <f t="shared" si="2"/>
        <v>18.999999999999996</v>
      </c>
      <c r="K69" s="169">
        <v>143951.92000000001</v>
      </c>
      <c r="L69" s="5">
        <f t="shared" si="3"/>
        <v>143951.92000000001</v>
      </c>
      <c r="M69" s="412"/>
      <c r="N69" s="412"/>
      <c r="O69" s="412"/>
      <c r="P69" s="86">
        <f t="shared" ref="P69:P132" si="61">IF(L69="","",L69)</f>
        <v>143951.92000000001</v>
      </c>
      <c r="Q69" s="414"/>
      <c r="R69" s="412"/>
      <c r="S69" s="416"/>
      <c r="T69" s="418"/>
      <c r="U69" s="408">
        <f t="shared" si="51"/>
        <v>0</v>
      </c>
      <c r="V69" s="504"/>
    </row>
    <row r="70" spans="1:22" ht="45" customHeight="1" x14ac:dyDescent="0.3">
      <c r="A70" s="496">
        <v>33</v>
      </c>
      <c r="B70" s="505">
        <v>31201503</v>
      </c>
      <c r="C70" s="506" t="s">
        <v>123</v>
      </c>
      <c r="D70" s="506" t="s">
        <v>124</v>
      </c>
      <c r="E70" s="507" t="s">
        <v>78</v>
      </c>
      <c r="F70" s="434" t="s">
        <v>79</v>
      </c>
      <c r="G70" s="149">
        <v>1</v>
      </c>
      <c r="H70" s="24" t="s">
        <v>80</v>
      </c>
      <c r="I70" s="22">
        <f t="shared" ref="I70:I133" si="62">IFERROR(K70/((100+J70)/100),"")</f>
        <v>5200</v>
      </c>
      <c r="J70" s="23">
        <f t="shared" ref="J70:J133" si="63">IF(K70="","",(K70-(K70/1.19))/(K70/1.19)*100)</f>
        <v>19</v>
      </c>
      <c r="K70" s="169">
        <v>6188</v>
      </c>
      <c r="L70" s="5">
        <f t="shared" ref="L70:L135" si="64">IF(I70="","",(K70)*G70)</f>
        <v>6188</v>
      </c>
      <c r="M70" s="411">
        <f t="shared" ref="M70" si="65">IFERROR(AVERAGE(L70:L71),"")</f>
        <v>8151.5</v>
      </c>
      <c r="N70" s="411">
        <f>IFERROR(HARMEAN(L70:L71),"")</f>
        <v>7678.540145985402</v>
      </c>
      <c r="O70" s="411">
        <f>IFERROR(MEDIAN(L70:L71),"")</f>
        <v>8151.5</v>
      </c>
      <c r="P70" s="86">
        <f t="shared" si="61"/>
        <v>6188</v>
      </c>
      <c r="Q70" s="413">
        <f>IFERROR(SUM(P70:P71)/COUNTA(K70:K71),"")</f>
        <v>8151.5</v>
      </c>
      <c r="R70" s="411">
        <f>IFERROR(_xlfn.STDEV.S(L70:L71),"")</f>
        <v>2776.8083297195722</v>
      </c>
      <c r="S70" s="415">
        <f>IFERROR(R70/M70,"")</f>
        <v>0.34064998217746084</v>
      </c>
      <c r="T70" s="417" t="s">
        <v>2005</v>
      </c>
      <c r="U70" s="407">
        <f t="shared" si="51"/>
        <v>8151.5</v>
      </c>
      <c r="V70" s="503" t="e" vm="29">
        <v>#VALUE!</v>
      </c>
    </row>
    <row r="71" spans="1:22" ht="45" customHeight="1" x14ac:dyDescent="0.3">
      <c r="A71" s="496"/>
      <c r="B71" s="505"/>
      <c r="C71" s="506"/>
      <c r="D71" s="506"/>
      <c r="E71" s="507"/>
      <c r="F71" s="434"/>
      <c r="G71" s="149">
        <f t="shared" ref="G71" si="66">G70</f>
        <v>1</v>
      </c>
      <c r="H71" s="53" t="s">
        <v>125</v>
      </c>
      <c r="I71" s="22">
        <f t="shared" si="62"/>
        <v>8500</v>
      </c>
      <c r="J71" s="23">
        <f t="shared" si="63"/>
        <v>19</v>
      </c>
      <c r="K71" s="169">
        <v>10115</v>
      </c>
      <c r="L71" s="5">
        <f t="shared" si="64"/>
        <v>10115</v>
      </c>
      <c r="M71" s="412"/>
      <c r="N71" s="412"/>
      <c r="O71" s="412"/>
      <c r="P71" s="86">
        <f t="shared" si="61"/>
        <v>10115</v>
      </c>
      <c r="Q71" s="414"/>
      <c r="R71" s="412"/>
      <c r="S71" s="416"/>
      <c r="T71" s="418"/>
      <c r="U71" s="408">
        <f t="shared" si="51"/>
        <v>0</v>
      </c>
      <c r="V71" s="504"/>
    </row>
    <row r="72" spans="1:22" ht="45" customHeight="1" x14ac:dyDescent="0.3">
      <c r="A72" s="496">
        <v>34</v>
      </c>
      <c r="B72" s="505">
        <v>31201505</v>
      </c>
      <c r="C72" s="506" t="s">
        <v>126</v>
      </c>
      <c r="D72" s="546" t="s">
        <v>127</v>
      </c>
      <c r="E72" s="434" t="s">
        <v>78</v>
      </c>
      <c r="F72" s="434" t="s">
        <v>79</v>
      </c>
      <c r="G72" s="149">
        <v>1</v>
      </c>
      <c r="H72" s="24" t="s">
        <v>128</v>
      </c>
      <c r="I72" s="22">
        <f t="shared" si="62"/>
        <v>34800</v>
      </c>
      <c r="J72" s="23">
        <f t="shared" si="63"/>
        <v>19</v>
      </c>
      <c r="K72" s="169">
        <v>41412</v>
      </c>
      <c r="L72" s="5">
        <f t="shared" si="64"/>
        <v>41412</v>
      </c>
      <c r="M72" s="411">
        <f t="shared" ref="M72" si="67">IFERROR(AVERAGE(L72:L73),"")</f>
        <v>41471.5</v>
      </c>
      <c r="N72" s="411">
        <f>IFERROR(HARMEAN(L72:L73),"")</f>
        <v>41471.414634146342</v>
      </c>
      <c r="O72" s="411">
        <f>IFERROR(MEDIAN(L72:L73),"")</f>
        <v>41471.5</v>
      </c>
      <c r="P72" s="86">
        <f t="shared" si="61"/>
        <v>41412</v>
      </c>
      <c r="Q72" s="413">
        <f>IFERROR(SUM(P72:P73)/COUNTA(K72:K73),"")</f>
        <v>41471.5</v>
      </c>
      <c r="R72" s="411">
        <f>IFERROR(_xlfn.STDEV.S(L72:L73),"")</f>
        <v>84.145706961199153</v>
      </c>
      <c r="S72" s="415">
        <f>IFERROR(R72/M72,"")</f>
        <v>2.0290008068480558E-3</v>
      </c>
      <c r="T72" s="417" t="s">
        <v>2005</v>
      </c>
      <c r="U72" s="407">
        <f t="shared" si="51"/>
        <v>41471.5</v>
      </c>
      <c r="V72" s="503" t="e" vm="30">
        <v>#VALUE!</v>
      </c>
    </row>
    <row r="73" spans="1:22" ht="45" customHeight="1" x14ac:dyDescent="0.3">
      <c r="A73" s="496"/>
      <c r="B73" s="505"/>
      <c r="C73" s="506"/>
      <c r="D73" s="546"/>
      <c r="E73" s="434"/>
      <c r="F73" s="434"/>
      <c r="G73" s="149">
        <f t="shared" ref="G73" si="68">G72</f>
        <v>1</v>
      </c>
      <c r="H73" s="53" t="s">
        <v>73</v>
      </c>
      <c r="I73" s="22">
        <f t="shared" si="62"/>
        <v>34900</v>
      </c>
      <c r="J73" s="23">
        <f t="shared" si="63"/>
        <v>19</v>
      </c>
      <c r="K73" s="169">
        <v>41531</v>
      </c>
      <c r="L73" s="5">
        <f t="shared" si="64"/>
        <v>41531</v>
      </c>
      <c r="M73" s="412"/>
      <c r="N73" s="412"/>
      <c r="O73" s="412"/>
      <c r="P73" s="86">
        <f t="shared" si="61"/>
        <v>41531</v>
      </c>
      <c r="Q73" s="414"/>
      <c r="R73" s="412"/>
      <c r="S73" s="416"/>
      <c r="T73" s="418"/>
      <c r="U73" s="408">
        <f t="shared" si="51"/>
        <v>0</v>
      </c>
      <c r="V73" s="504"/>
    </row>
    <row r="74" spans="1:22" ht="45" customHeight="1" x14ac:dyDescent="0.3">
      <c r="A74" s="496">
        <v>35</v>
      </c>
      <c r="B74" s="505">
        <v>31201509</v>
      </c>
      <c r="C74" s="500" t="s">
        <v>129</v>
      </c>
      <c r="D74" s="506" t="s">
        <v>130</v>
      </c>
      <c r="E74" s="508" t="s">
        <v>78</v>
      </c>
      <c r="F74" s="435" t="s">
        <v>79</v>
      </c>
      <c r="G74" s="149">
        <v>1</v>
      </c>
      <c r="H74" s="24" t="s">
        <v>131</v>
      </c>
      <c r="I74" s="22">
        <f t="shared" si="62"/>
        <v>27500</v>
      </c>
      <c r="J74" s="23">
        <f t="shared" si="63"/>
        <v>19</v>
      </c>
      <c r="K74" s="169">
        <v>32725</v>
      </c>
      <c r="L74" s="5">
        <f t="shared" si="64"/>
        <v>32725</v>
      </c>
      <c r="M74" s="411">
        <f t="shared" ref="M74" si="69">IFERROR(AVERAGE(L74:L75),"")</f>
        <v>35991.550000000003</v>
      </c>
      <c r="N74" s="411">
        <f>IFERROR(HARMEAN(L74:L75),"")</f>
        <v>35695.081831707721</v>
      </c>
      <c r="O74" s="411">
        <f>IFERROR(MEDIAN(L74:L75),"")</f>
        <v>35991.550000000003</v>
      </c>
      <c r="P74" s="86">
        <f t="shared" si="61"/>
        <v>32725</v>
      </c>
      <c r="Q74" s="413">
        <f>IFERROR(SUM(P74:P75)/COUNTA(K74:K75),"")</f>
        <v>35991.550000000003</v>
      </c>
      <c r="R74" s="411">
        <f>IFERROR(_xlfn.STDEV.S(L74:L75),"")</f>
        <v>4619.599312169833</v>
      </c>
      <c r="S74" s="415">
        <f>IFERROR(R74/M74,"")</f>
        <v>0.12835233026001472</v>
      </c>
      <c r="T74" s="417" t="s">
        <v>2005</v>
      </c>
      <c r="U74" s="407">
        <f t="shared" si="51"/>
        <v>35991.550000000003</v>
      </c>
      <c r="V74" s="503" t="e" vm="31">
        <v>#VALUE!</v>
      </c>
    </row>
    <row r="75" spans="1:22" ht="45" customHeight="1" x14ac:dyDescent="0.3">
      <c r="A75" s="496"/>
      <c r="B75" s="505">
        <v>30152100</v>
      </c>
      <c r="C75" s="525"/>
      <c r="D75" s="506" t="s">
        <v>132</v>
      </c>
      <c r="E75" s="507"/>
      <c r="F75" s="434"/>
      <c r="G75" s="149">
        <f t="shared" ref="G75" si="70">G74</f>
        <v>1</v>
      </c>
      <c r="H75" s="53" t="s">
        <v>133</v>
      </c>
      <c r="I75" s="22">
        <f t="shared" si="62"/>
        <v>32990</v>
      </c>
      <c r="J75" s="23">
        <f t="shared" si="63"/>
        <v>18.999999999999993</v>
      </c>
      <c r="K75" s="169">
        <v>39258.1</v>
      </c>
      <c r="L75" s="5">
        <f t="shared" si="64"/>
        <v>39258.1</v>
      </c>
      <c r="M75" s="412"/>
      <c r="N75" s="412"/>
      <c r="O75" s="412"/>
      <c r="P75" s="86">
        <f t="shared" si="61"/>
        <v>39258.1</v>
      </c>
      <c r="Q75" s="414"/>
      <c r="R75" s="412"/>
      <c r="S75" s="416"/>
      <c r="T75" s="418"/>
      <c r="U75" s="408">
        <f t="shared" si="51"/>
        <v>0</v>
      </c>
      <c r="V75" s="504"/>
    </row>
    <row r="76" spans="1:22" ht="45" customHeight="1" x14ac:dyDescent="0.3">
      <c r="A76" s="496">
        <v>36</v>
      </c>
      <c r="B76" s="505">
        <v>56131504</v>
      </c>
      <c r="C76" s="500" t="s">
        <v>134</v>
      </c>
      <c r="D76" s="506" t="s">
        <v>135</v>
      </c>
      <c r="E76" s="507" t="s">
        <v>78</v>
      </c>
      <c r="F76" s="434" t="s">
        <v>79</v>
      </c>
      <c r="G76" s="149">
        <v>1</v>
      </c>
      <c r="H76" s="24" t="s">
        <v>136</v>
      </c>
      <c r="I76" s="22">
        <f t="shared" si="62"/>
        <v>850000</v>
      </c>
      <c r="J76" s="23">
        <f t="shared" si="63"/>
        <v>19</v>
      </c>
      <c r="K76" s="169">
        <v>1011500</v>
      </c>
      <c r="L76" s="5">
        <f t="shared" si="64"/>
        <v>1011500</v>
      </c>
      <c r="M76" s="411">
        <f t="shared" ref="M76" si="71">IFERROR(AVERAGE(L76:L77),"")</f>
        <v>726842.5</v>
      </c>
      <c r="N76" s="411">
        <f>IFERROR(HARMEAN(L76:L77),"")</f>
        <v>615360.44947839458</v>
      </c>
      <c r="O76" s="411">
        <f>IFERROR(MEDIAN(L76:L77),"")</f>
        <v>726842.5</v>
      </c>
      <c r="P76" s="86">
        <f t="shared" si="61"/>
        <v>1011500</v>
      </c>
      <c r="Q76" s="413">
        <f>IFERROR(SUM(P76:P77)/COUNTA(K76:K77),"")</f>
        <v>726842.5</v>
      </c>
      <c r="R76" s="411">
        <f>IFERROR(_xlfn.STDEV.S(L76:L77),"")</f>
        <v>402566.49713121931</v>
      </c>
      <c r="S76" s="415">
        <f>IFERROR(R76/M76,"")</f>
        <v>0.55385657433518165</v>
      </c>
      <c r="T76" s="417" t="s">
        <v>2005</v>
      </c>
      <c r="U76" s="407">
        <f t="shared" si="51"/>
        <v>726842.5</v>
      </c>
      <c r="V76" s="503" t="e" vm="32">
        <v>#VALUE!</v>
      </c>
    </row>
    <row r="77" spans="1:22" ht="45" customHeight="1" x14ac:dyDescent="0.3">
      <c r="A77" s="496"/>
      <c r="B77" s="505"/>
      <c r="C77" s="525"/>
      <c r="D77" s="506"/>
      <c r="E77" s="507"/>
      <c r="F77" s="434"/>
      <c r="G77" s="149">
        <f t="shared" ref="G77" si="72">G76</f>
        <v>1</v>
      </c>
      <c r="H77" s="53" t="s">
        <v>101</v>
      </c>
      <c r="I77" s="22">
        <f t="shared" si="62"/>
        <v>371584.03361344541</v>
      </c>
      <c r="J77" s="23">
        <f t="shared" si="63"/>
        <v>18.999999999999989</v>
      </c>
      <c r="K77" s="22">
        <v>442185</v>
      </c>
      <c r="L77" s="5">
        <f t="shared" si="64"/>
        <v>442185</v>
      </c>
      <c r="M77" s="412"/>
      <c r="N77" s="412"/>
      <c r="O77" s="412"/>
      <c r="P77" s="86">
        <f t="shared" si="61"/>
        <v>442185</v>
      </c>
      <c r="Q77" s="414"/>
      <c r="R77" s="412"/>
      <c r="S77" s="416"/>
      <c r="T77" s="418"/>
      <c r="U77" s="408">
        <f t="shared" si="51"/>
        <v>0</v>
      </c>
      <c r="V77" s="504"/>
    </row>
    <row r="78" spans="1:22" ht="45" customHeight="1" x14ac:dyDescent="0.3">
      <c r="A78" s="496">
        <v>37</v>
      </c>
      <c r="B78" s="505">
        <v>56131504</v>
      </c>
      <c r="C78" s="506" t="s">
        <v>137</v>
      </c>
      <c r="D78" s="506" t="s">
        <v>138</v>
      </c>
      <c r="E78" s="507" t="s">
        <v>78</v>
      </c>
      <c r="F78" s="434" t="s">
        <v>79</v>
      </c>
      <c r="G78" s="149">
        <v>1</v>
      </c>
      <c r="H78" s="24" t="s">
        <v>136</v>
      </c>
      <c r="I78" s="22">
        <f t="shared" si="62"/>
        <v>850000</v>
      </c>
      <c r="J78" s="23">
        <f t="shared" si="63"/>
        <v>19</v>
      </c>
      <c r="K78" s="169">
        <v>1011500</v>
      </c>
      <c r="L78" s="5">
        <f t="shared" si="64"/>
        <v>1011500</v>
      </c>
      <c r="M78" s="411">
        <f t="shared" ref="M78" si="73">IFERROR(AVERAGE(L78:L79),"")</f>
        <v>918500.5</v>
      </c>
      <c r="N78" s="411">
        <f>IFERROR(HARMEAN(L78:L79),"")</f>
        <v>909084.16653012182</v>
      </c>
      <c r="O78" s="411">
        <f>IFERROR(MEDIAN(L78:L79),"")</f>
        <v>918500.5</v>
      </c>
      <c r="P78" s="86">
        <f t="shared" si="61"/>
        <v>1011500</v>
      </c>
      <c r="Q78" s="413">
        <f>IFERROR(SUM(P78:P79)/COUNTA(K78:K79),"")</f>
        <v>918500.5</v>
      </c>
      <c r="R78" s="411">
        <f>IFERROR(_xlfn.STDEV.S(L78:L79),"")</f>
        <v>131521.15419391665</v>
      </c>
      <c r="S78" s="415">
        <f>IFERROR(R78/M78,"")</f>
        <v>0.14319116232807347</v>
      </c>
      <c r="T78" s="417" t="s">
        <v>2005</v>
      </c>
      <c r="U78" s="407">
        <f t="shared" si="51"/>
        <v>918500.5</v>
      </c>
      <c r="V78" s="503" t="e" vm="33">
        <v>#VALUE!</v>
      </c>
    </row>
    <row r="79" spans="1:22" ht="45" customHeight="1" x14ac:dyDescent="0.3">
      <c r="A79" s="496"/>
      <c r="B79" s="505"/>
      <c r="C79" s="506"/>
      <c r="D79" s="506"/>
      <c r="E79" s="507"/>
      <c r="F79" s="434"/>
      <c r="G79" s="149">
        <f t="shared" ref="G79" si="74">G78</f>
        <v>1</v>
      </c>
      <c r="H79" s="53" t="s">
        <v>101</v>
      </c>
      <c r="I79" s="22">
        <f t="shared" si="62"/>
        <v>693698.31932773115</v>
      </c>
      <c r="J79" s="23">
        <f t="shared" si="63"/>
        <v>18.999999999999989</v>
      </c>
      <c r="K79" s="169">
        <v>825501</v>
      </c>
      <c r="L79" s="5">
        <f t="shared" si="64"/>
        <v>825501</v>
      </c>
      <c r="M79" s="412"/>
      <c r="N79" s="412"/>
      <c r="O79" s="412"/>
      <c r="P79" s="86">
        <f t="shared" si="61"/>
        <v>825501</v>
      </c>
      <c r="Q79" s="414"/>
      <c r="R79" s="412"/>
      <c r="S79" s="416"/>
      <c r="T79" s="418"/>
      <c r="U79" s="408">
        <f t="shared" si="51"/>
        <v>0</v>
      </c>
      <c r="V79" s="504"/>
    </row>
    <row r="80" spans="1:22" ht="45" customHeight="1" x14ac:dyDescent="0.3">
      <c r="A80" s="496">
        <v>38</v>
      </c>
      <c r="B80" s="505">
        <v>27111700</v>
      </c>
      <c r="C80" s="506" t="s">
        <v>139</v>
      </c>
      <c r="D80" s="506" t="s">
        <v>140</v>
      </c>
      <c r="E80" s="507" t="s">
        <v>141</v>
      </c>
      <c r="F80" s="434" t="s">
        <v>142</v>
      </c>
      <c r="G80" s="149">
        <v>1</v>
      </c>
      <c r="H80" s="24" t="s">
        <v>73</v>
      </c>
      <c r="I80" s="22">
        <f t="shared" si="62"/>
        <v>63900</v>
      </c>
      <c r="J80" s="23">
        <f t="shared" si="63"/>
        <v>19</v>
      </c>
      <c r="K80" s="169">
        <v>76041</v>
      </c>
      <c r="L80" s="5">
        <f t="shared" si="64"/>
        <v>76041</v>
      </c>
      <c r="M80" s="411">
        <f t="shared" ref="M80" si="75">IFERROR(AVERAGE(L80:L81),"")</f>
        <v>76041</v>
      </c>
      <c r="N80" s="411">
        <f>IFERROR(HARMEAN(L80:L81),"")</f>
        <v>76041</v>
      </c>
      <c r="O80" s="411">
        <f>IFERROR(MEDIAN(L80:L81),"")</f>
        <v>76041</v>
      </c>
      <c r="P80" s="86">
        <f t="shared" si="61"/>
        <v>76041</v>
      </c>
      <c r="Q80" s="413">
        <f>IFERROR(SUM(P80:P81)/COUNTA(K80:K81),"")</f>
        <v>76041</v>
      </c>
      <c r="R80" s="411">
        <f>IFERROR(_xlfn.STDEV.S(L80:L81),"")</f>
        <v>0</v>
      </c>
      <c r="S80" s="415">
        <f>IFERROR(R80/M80,"")</f>
        <v>0</v>
      </c>
      <c r="T80" s="417" t="s">
        <v>2005</v>
      </c>
      <c r="U80" s="407">
        <f t="shared" si="51"/>
        <v>76041</v>
      </c>
      <c r="V80" s="503" t="e" vm="34">
        <v>#VALUE!</v>
      </c>
    </row>
    <row r="81" spans="1:22" ht="45" customHeight="1" x14ac:dyDescent="0.3">
      <c r="A81" s="496"/>
      <c r="B81" s="505"/>
      <c r="C81" s="506"/>
      <c r="D81" s="506"/>
      <c r="E81" s="507"/>
      <c r="F81" s="434"/>
      <c r="G81" s="149">
        <f t="shared" ref="G81" si="76">G80</f>
        <v>1</v>
      </c>
      <c r="H81" s="53" t="s">
        <v>143</v>
      </c>
      <c r="I81" s="22">
        <f t="shared" si="62"/>
        <v>63900</v>
      </c>
      <c r="J81" s="23">
        <f t="shared" si="63"/>
        <v>19</v>
      </c>
      <c r="K81" s="169">
        <v>76041</v>
      </c>
      <c r="L81" s="5">
        <f t="shared" si="64"/>
        <v>76041</v>
      </c>
      <c r="M81" s="412"/>
      <c r="N81" s="412"/>
      <c r="O81" s="412"/>
      <c r="P81" s="86">
        <f t="shared" si="61"/>
        <v>76041</v>
      </c>
      <c r="Q81" s="414"/>
      <c r="R81" s="412"/>
      <c r="S81" s="416"/>
      <c r="T81" s="418"/>
      <c r="U81" s="408">
        <f t="shared" si="51"/>
        <v>0</v>
      </c>
      <c r="V81" s="504"/>
    </row>
    <row r="82" spans="1:22" ht="45" customHeight="1" x14ac:dyDescent="0.3">
      <c r="A82" s="496">
        <v>39</v>
      </c>
      <c r="B82" s="505">
        <v>27111956</v>
      </c>
      <c r="C82" s="506" t="s">
        <v>144</v>
      </c>
      <c r="D82" s="506" t="s">
        <v>145</v>
      </c>
      <c r="E82" s="507" t="s">
        <v>146</v>
      </c>
      <c r="F82" s="434" t="s">
        <v>79</v>
      </c>
      <c r="G82" s="149">
        <v>1</v>
      </c>
      <c r="H82" s="24" t="s">
        <v>147</v>
      </c>
      <c r="I82" s="22">
        <f t="shared" si="62"/>
        <v>165936</v>
      </c>
      <c r="J82" s="23">
        <f t="shared" si="63"/>
        <v>18.999999999999996</v>
      </c>
      <c r="K82" s="169">
        <v>197463.84</v>
      </c>
      <c r="L82" s="5">
        <f t="shared" si="64"/>
        <v>197463.84</v>
      </c>
      <c r="M82" s="411">
        <f t="shared" ref="M82" si="77">IFERROR(AVERAGE(L82:L83),"")</f>
        <v>203071.12</v>
      </c>
      <c r="N82" s="411">
        <f>IFERROR(HARMEAN(L82:L83),"")</f>
        <v>202916.28956917164</v>
      </c>
      <c r="O82" s="411">
        <f>IFERROR(MEDIAN(L82:L83),"")</f>
        <v>203071.12</v>
      </c>
      <c r="P82" s="86">
        <f t="shared" si="61"/>
        <v>197463.84</v>
      </c>
      <c r="Q82" s="413">
        <f>IFERROR(SUM(P82:P83)/COUNTA(K82:K83),"")</f>
        <v>203071.12</v>
      </c>
      <c r="R82" s="411">
        <f>IFERROR(_xlfn.STDEV.S(L82:L83),"")</f>
        <v>7929.8914240234071</v>
      </c>
      <c r="S82" s="415">
        <f>IFERROR(R82/M82,"")</f>
        <v>3.9049823648106177E-2</v>
      </c>
      <c r="T82" s="417" t="s">
        <v>2005</v>
      </c>
      <c r="U82" s="407">
        <f t="shared" si="51"/>
        <v>203071.12</v>
      </c>
      <c r="V82" s="503" t="e" vm="35">
        <v>#VALUE!</v>
      </c>
    </row>
    <row r="83" spans="1:22" ht="45" customHeight="1" x14ac:dyDescent="0.3">
      <c r="A83" s="496"/>
      <c r="B83" s="505"/>
      <c r="C83" s="506"/>
      <c r="D83" s="506"/>
      <c r="E83" s="507"/>
      <c r="F83" s="434"/>
      <c r="G83" s="149">
        <f t="shared" ref="G83" si="78">G82</f>
        <v>1</v>
      </c>
      <c r="H83" s="53" t="s">
        <v>147</v>
      </c>
      <c r="I83" s="22">
        <f t="shared" si="62"/>
        <v>175360</v>
      </c>
      <c r="J83" s="23">
        <f t="shared" si="63"/>
        <v>18.999999999999996</v>
      </c>
      <c r="K83" s="169">
        <v>208678.39999999999</v>
      </c>
      <c r="L83" s="5">
        <f t="shared" si="64"/>
        <v>208678.39999999999</v>
      </c>
      <c r="M83" s="412"/>
      <c r="N83" s="412"/>
      <c r="O83" s="412"/>
      <c r="P83" s="86">
        <f t="shared" si="61"/>
        <v>208678.39999999999</v>
      </c>
      <c r="Q83" s="414"/>
      <c r="R83" s="412"/>
      <c r="S83" s="416"/>
      <c r="T83" s="418"/>
      <c r="U83" s="408">
        <f t="shared" si="51"/>
        <v>0</v>
      </c>
      <c r="V83" s="504"/>
    </row>
    <row r="84" spans="1:22" ht="45" customHeight="1" x14ac:dyDescent="0.3">
      <c r="A84" s="496">
        <v>40</v>
      </c>
      <c r="B84" s="505">
        <v>31200000</v>
      </c>
      <c r="C84" s="506" t="s">
        <v>148</v>
      </c>
      <c r="D84" s="506" t="s">
        <v>149</v>
      </c>
      <c r="E84" s="507" t="s">
        <v>150</v>
      </c>
      <c r="F84" s="434" t="s">
        <v>151</v>
      </c>
      <c r="G84" s="149">
        <v>1</v>
      </c>
      <c r="H84" s="24" t="s">
        <v>152</v>
      </c>
      <c r="I84" s="22">
        <f t="shared" si="62"/>
        <v>58000</v>
      </c>
      <c r="J84" s="23">
        <f t="shared" si="63"/>
        <v>19</v>
      </c>
      <c r="K84" s="169">
        <v>69020</v>
      </c>
      <c r="L84" s="5">
        <f t="shared" si="64"/>
        <v>69020</v>
      </c>
      <c r="M84" s="411">
        <f t="shared" ref="M84" si="79">IFERROR(AVERAGE(L84:L85),"")</f>
        <v>66921.434999999998</v>
      </c>
      <c r="N84" s="411">
        <f>IFERROR(HARMEAN(L84:L85),"")</f>
        <v>66855.626861557888</v>
      </c>
      <c r="O84" s="411">
        <f>IFERROR(MEDIAN(L84:L85),"")</f>
        <v>66921.434999999998</v>
      </c>
      <c r="P84" s="86">
        <f t="shared" si="61"/>
        <v>69020</v>
      </c>
      <c r="Q84" s="413">
        <f>IFERROR(SUM(P84:P85)/COUNTA(K84:K85),"")</f>
        <v>66921.434999999998</v>
      </c>
      <c r="R84" s="411">
        <f>IFERROR(_xlfn.STDEV.S(L84:L85),"")</f>
        <v>2967.8190845214926</v>
      </c>
      <c r="S84" s="415">
        <f>IFERROR(R84/M84,"")</f>
        <v>4.4347810003199914E-2</v>
      </c>
      <c r="T84" s="417" t="s">
        <v>2005</v>
      </c>
      <c r="U84" s="407">
        <f t="shared" si="51"/>
        <v>66921.434999999998</v>
      </c>
      <c r="V84" s="503" t="e" vm="36">
        <v>#VALUE!</v>
      </c>
    </row>
    <row r="85" spans="1:22" ht="45" customHeight="1" x14ac:dyDescent="0.3">
      <c r="A85" s="496"/>
      <c r="B85" s="505"/>
      <c r="C85" s="506"/>
      <c r="D85" s="506"/>
      <c r="E85" s="507"/>
      <c r="F85" s="434"/>
      <c r="G85" s="149">
        <f t="shared" ref="G85" si="80">G84</f>
        <v>1</v>
      </c>
      <c r="H85" s="53" t="s">
        <v>112</v>
      </c>
      <c r="I85" s="22">
        <f t="shared" si="62"/>
        <v>54473.000000000007</v>
      </c>
      <c r="J85" s="23">
        <f t="shared" si="63"/>
        <v>18.999999999999989</v>
      </c>
      <c r="K85" s="169">
        <v>64822.87</v>
      </c>
      <c r="L85" s="5">
        <f t="shared" si="64"/>
        <v>64822.87</v>
      </c>
      <c r="M85" s="412"/>
      <c r="N85" s="412"/>
      <c r="O85" s="412"/>
      <c r="P85" s="86">
        <f t="shared" si="61"/>
        <v>64822.87</v>
      </c>
      <c r="Q85" s="414"/>
      <c r="R85" s="412"/>
      <c r="S85" s="416"/>
      <c r="T85" s="418"/>
      <c r="U85" s="408">
        <f t="shared" si="51"/>
        <v>0</v>
      </c>
      <c r="V85" s="504"/>
    </row>
    <row r="86" spans="1:22" ht="45" customHeight="1" x14ac:dyDescent="0.3">
      <c r="A86" s="496">
        <v>41</v>
      </c>
      <c r="B86" s="505">
        <v>11161704</v>
      </c>
      <c r="C86" s="506" t="s">
        <v>153</v>
      </c>
      <c r="D86" s="546" t="s">
        <v>154</v>
      </c>
      <c r="E86" s="434" t="s">
        <v>42</v>
      </c>
      <c r="F86" s="434" t="s">
        <v>155</v>
      </c>
      <c r="G86" s="149">
        <v>1</v>
      </c>
      <c r="H86" s="24" t="s">
        <v>101</v>
      </c>
      <c r="I86" s="22">
        <f t="shared" si="62"/>
        <v>4158.0000000000009</v>
      </c>
      <c r="J86" s="23">
        <f t="shared" si="63"/>
        <v>18.999999999999982</v>
      </c>
      <c r="K86" s="169">
        <v>4948.0200000000004</v>
      </c>
      <c r="L86" s="5">
        <f t="shared" si="64"/>
        <v>4948.0200000000004</v>
      </c>
      <c r="M86" s="411">
        <f t="shared" ref="M86" si="81">IFERROR(AVERAGE(L86:L87),"")</f>
        <v>4259.01</v>
      </c>
      <c r="N86" s="411">
        <f>IFERROR(HARMEAN(L86:L87),"")</f>
        <v>4147.5440067057843</v>
      </c>
      <c r="O86" s="411">
        <f>IFERROR(MEDIAN(L86:L87),"")</f>
        <v>4259.01</v>
      </c>
      <c r="P86" s="86">
        <f t="shared" si="61"/>
        <v>4948.0200000000004</v>
      </c>
      <c r="Q86" s="413">
        <f>IFERROR(SUM(P86:P87)/COUNTA(K86:K87),"")</f>
        <v>4259.01</v>
      </c>
      <c r="R86" s="411">
        <f>IFERROR(_xlfn.STDEV.S(L86:L87),"")</f>
        <v>974.4072866106892</v>
      </c>
      <c r="S86" s="415">
        <f>IFERROR(R86/M86,"")</f>
        <v>0.22878727371165813</v>
      </c>
      <c r="T86" s="417" t="s">
        <v>2005</v>
      </c>
      <c r="U86" s="407">
        <f t="shared" si="51"/>
        <v>4259.01</v>
      </c>
      <c r="V86" s="503" t="e" vm="37">
        <v>#VALUE!</v>
      </c>
    </row>
    <row r="87" spans="1:22" ht="45" customHeight="1" x14ac:dyDescent="0.3">
      <c r="A87" s="496"/>
      <c r="B87" s="505"/>
      <c r="C87" s="506"/>
      <c r="D87" s="546"/>
      <c r="E87" s="434"/>
      <c r="F87" s="434"/>
      <c r="G87" s="149">
        <f t="shared" ref="G87" si="82">G86</f>
        <v>1</v>
      </c>
      <c r="H87" s="53" t="s">
        <v>156</v>
      </c>
      <c r="I87" s="22">
        <f t="shared" si="62"/>
        <v>3000</v>
      </c>
      <c r="J87" s="23">
        <f t="shared" si="63"/>
        <v>19</v>
      </c>
      <c r="K87" s="169">
        <v>3570</v>
      </c>
      <c r="L87" s="5">
        <f t="shared" si="64"/>
        <v>3570</v>
      </c>
      <c r="M87" s="412"/>
      <c r="N87" s="412"/>
      <c r="O87" s="412"/>
      <c r="P87" s="86">
        <f t="shared" si="61"/>
        <v>3570</v>
      </c>
      <c r="Q87" s="414"/>
      <c r="R87" s="412"/>
      <c r="S87" s="416"/>
      <c r="T87" s="418"/>
      <c r="U87" s="408">
        <f t="shared" si="51"/>
        <v>0</v>
      </c>
      <c r="V87" s="504"/>
    </row>
    <row r="88" spans="1:22" ht="45" customHeight="1" x14ac:dyDescent="0.3">
      <c r="A88" s="496">
        <v>42</v>
      </c>
      <c r="B88" s="505">
        <v>31201523</v>
      </c>
      <c r="C88" s="506" t="s">
        <v>157</v>
      </c>
      <c r="D88" s="506" t="s">
        <v>158</v>
      </c>
      <c r="E88" s="508" t="s">
        <v>78</v>
      </c>
      <c r="F88" s="435" t="s">
        <v>72</v>
      </c>
      <c r="G88" s="149">
        <v>1</v>
      </c>
      <c r="H88" s="24" t="s">
        <v>80</v>
      </c>
      <c r="I88" s="22">
        <f t="shared" si="62"/>
        <v>49165</v>
      </c>
      <c r="J88" s="23">
        <f t="shared" si="63"/>
        <v>18.999999999999996</v>
      </c>
      <c r="K88" s="169">
        <v>58506.35</v>
      </c>
      <c r="L88" s="5">
        <f t="shared" si="64"/>
        <v>58506.35</v>
      </c>
      <c r="M88" s="411">
        <f t="shared" ref="M88" si="83">IFERROR(AVERAGE(L88:L89),"")</f>
        <v>35795.199999999997</v>
      </c>
      <c r="N88" s="411">
        <f>IFERROR(HARMEAN(L88:L89),"")</f>
        <v>21385.549143949469</v>
      </c>
      <c r="O88" s="411">
        <f>IFERROR(MEDIAN(L88:L89),"")</f>
        <v>35795.199999999997</v>
      </c>
      <c r="P88" s="86">
        <f t="shared" si="61"/>
        <v>58506.35</v>
      </c>
      <c r="Q88" s="413">
        <f>IFERROR(SUM(P88:P89)/COUNTA(K88:K89),"")</f>
        <v>35795.199999999997</v>
      </c>
      <c r="R88" s="411">
        <f>IFERROR(_xlfn.STDEV.S(L88:L89),"")</f>
        <v>32118.416347089726</v>
      </c>
      <c r="S88" s="415">
        <f>IFERROR(R88/M88,"")</f>
        <v>0.89728277386604149</v>
      </c>
      <c r="T88" s="417" t="s">
        <v>2005</v>
      </c>
      <c r="U88" s="407">
        <f t="shared" si="51"/>
        <v>35795.199999999997</v>
      </c>
      <c r="V88" s="503" t="e" vm="38">
        <v>#VALUE!</v>
      </c>
    </row>
    <row r="89" spans="1:22" ht="45" customHeight="1" x14ac:dyDescent="0.3">
      <c r="A89" s="496"/>
      <c r="B89" s="505"/>
      <c r="C89" s="506"/>
      <c r="D89" s="506"/>
      <c r="E89" s="507"/>
      <c r="F89" s="434"/>
      <c r="G89" s="149">
        <f t="shared" ref="G89" si="84">G88</f>
        <v>1</v>
      </c>
      <c r="H89" s="53" t="s">
        <v>101</v>
      </c>
      <c r="I89" s="22">
        <f t="shared" si="62"/>
        <v>10995</v>
      </c>
      <c r="J89" s="23">
        <f t="shared" si="63"/>
        <v>18.999999999999993</v>
      </c>
      <c r="K89" s="169">
        <v>13084.05</v>
      </c>
      <c r="L89" s="5">
        <f t="shared" si="64"/>
        <v>13084.05</v>
      </c>
      <c r="M89" s="412"/>
      <c r="N89" s="412"/>
      <c r="O89" s="412"/>
      <c r="P89" s="86">
        <f t="shared" si="61"/>
        <v>13084.05</v>
      </c>
      <c r="Q89" s="414"/>
      <c r="R89" s="412"/>
      <c r="S89" s="416"/>
      <c r="T89" s="418"/>
      <c r="U89" s="408">
        <f t="shared" si="51"/>
        <v>0</v>
      </c>
      <c r="V89" s="504"/>
    </row>
    <row r="90" spans="1:22" ht="45" customHeight="1" x14ac:dyDescent="0.3">
      <c r="A90" s="496">
        <v>43</v>
      </c>
      <c r="B90" s="505">
        <v>27111803</v>
      </c>
      <c r="C90" s="506" t="s">
        <v>159</v>
      </c>
      <c r="D90" s="506" t="s">
        <v>160</v>
      </c>
      <c r="E90" s="507" t="s">
        <v>78</v>
      </c>
      <c r="F90" s="434" t="s">
        <v>79</v>
      </c>
      <c r="G90" s="149">
        <v>1</v>
      </c>
      <c r="H90" s="24" t="s">
        <v>80</v>
      </c>
      <c r="I90" s="22">
        <f t="shared" si="62"/>
        <v>42465</v>
      </c>
      <c r="J90" s="23">
        <f t="shared" si="63"/>
        <v>18.999999999999996</v>
      </c>
      <c r="K90" s="169">
        <v>50533.35</v>
      </c>
      <c r="L90" s="5">
        <f t="shared" si="64"/>
        <v>50533.35</v>
      </c>
      <c r="M90" s="411">
        <f t="shared" ref="M90" si="85">IFERROR(AVERAGE(L90:L91),"")</f>
        <v>58586.675000000003</v>
      </c>
      <c r="N90" s="411">
        <f>IFERROR(HARMEAN(L90:L91),"")</f>
        <v>57479.664855532421</v>
      </c>
      <c r="O90" s="411">
        <f>IFERROR(MEDIAN(L90:L91),"")</f>
        <v>58586.675000000003</v>
      </c>
      <c r="P90" s="86">
        <f t="shared" si="61"/>
        <v>50533.35</v>
      </c>
      <c r="Q90" s="413">
        <f>IFERROR(SUM(P90:P91)/COUNTA(K90:K91),"")</f>
        <v>58586.675000000003</v>
      </c>
      <c r="R90" s="411">
        <f>IFERROR(_xlfn.STDEV.S(L90:L91),"")</f>
        <v>11389.121437198261</v>
      </c>
      <c r="S90" s="415">
        <f>IFERROR(R90/M90,"")</f>
        <v>0.19439781208266657</v>
      </c>
      <c r="T90" s="417" t="s">
        <v>2005</v>
      </c>
      <c r="U90" s="407">
        <f t="shared" si="51"/>
        <v>58586.675000000003</v>
      </c>
      <c r="V90" s="503" t="e" vm="39">
        <v>#VALUE!</v>
      </c>
    </row>
    <row r="91" spans="1:22" ht="45" customHeight="1" x14ac:dyDescent="0.3">
      <c r="A91" s="496"/>
      <c r="B91" s="505"/>
      <c r="C91" s="506"/>
      <c r="D91" s="506"/>
      <c r="E91" s="507"/>
      <c r="F91" s="434"/>
      <c r="G91" s="149">
        <f t="shared" ref="G91" si="86">G90</f>
        <v>1</v>
      </c>
      <c r="H91" s="53" t="s">
        <v>161</v>
      </c>
      <c r="I91" s="22">
        <f t="shared" si="62"/>
        <v>56000</v>
      </c>
      <c r="J91" s="23">
        <f t="shared" si="63"/>
        <v>19</v>
      </c>
      <c r="K91" s="169">
        <v>66640</v>
      </c>
      <c r="L91" s="5">
        <f t="shared" si="64"/>
        <v>66640</v>
      </c>
      <c r="M91" s="412"/>
      <c r="N91" s="412"/>
      <c r="O91" s="412"/>
      <c r="P91" s="86">
        <f t="shared" si="61"/>
        <v>66640</v>
      </c>
      <c r="Q91" s="414"/>
      <c r="R91" s="412"/>
      <c r="S91" s="416"/>
      <c r="T91" s="418"/>
      <c r="U91" s="408">
        <f t="shared" si="51"/>
        <v>0</v>
      </c>
      <c r="V91" s="504"/>
    </row>
    <row r="92" spans="1:22" ht="45" customHeight="1" x14ac:dyDescent="0.3">
      <c r="A92" s="496">
        <v>44</v>
      </c>
      <c r="B92" s="505">
        <v>41111604</v>
      </c>
      <c r="C92" s="506" t="s">
        <v>162</v>
      </c>
      <c r="D92" s="506" t="s">
        <v>163</v>
      </c>
      <c r="E92" s="507" t="s">
        <v>78</v>
      </c>
      <c r="F92" s="434" t="s">
        <v>79</v>
      </c>
      <c r="G92" s="149">
        <v>1</v>
      </c>
      <c r="H92" s="24" t="s">
        <v>80</v>
      </c>
      <c r="I92" s="22">
        <f t="shared" si="62"/>
        <v>17460.000000000004</v>
      </c>
      <c r="J92" s="23">
        <f t="shared" si="63"/>
        <v>18.999999999999982</v>
      </c>
      <c r="K92" s="169">
        <v>20777.400000000001</v>
      </c>
      <c r="L92" s="5">
        <f t="shared" si="64"/>
        <v>20777.400000000001</v>
      </c>
      <c r="M92" s="411">
        <f t="shared" ref="M92" si="87">IFERROR(AVERAGE(L92:L93),"")</f>
        <v>15148.7</v>
      </c>
      <c r="N92" s="411">
        <f>IFERROR(HARMEAN(L92:L93),"")</f>
        <v>13057.282010997644</v>
      </c>
      <c r="O92" s="411">
        <f>IFERROR(MEDIAN(L92:L93),"")</f>
        <v>15148.7</v>
      </c>
      <c r="P92" s="86">
        <f t="shared" si="61"/>
        <v>20777.400000000001</v>
      </c>
      <c r="Q92" s="413">
        <f>IFERROR(SUM(P92:P93)/COUNTA(K92:K93),"")</f>
        <v>15148.7</v>
      </c>
      <c r="R92" s="411">
        <f>IFERROR(_xlfn.STDEV.S(L92:L93),"")</f>
        <v>7960.1838785294394</v>
      </c>
      <c r="S92" s="415">
        <f>IFERROR(R92/M92,"")</f>
        <v>0.52546976826588676</v>
      </c>
      <c r="T92" s="417" t="s">
        <v>2005</v>
      </c>
      <c r="U92" s="407">
        <f t="shared" si="51"/>
        <v>15148.7</v>
      </c>
      <c r="V92" s="503" t="e" vm="40">
        <v>#VALUE!</v>
      </c>
    </row>
    <row r="93" spans="1:22" ht="45" customHeight="1" x14ac:dyDescent="0.3">
      <c r="A93" s="496"/>
      <c r="B93" s="505"/>
      <c r="C93" s="506"/>
      <c r="D93" s="506"/>
      <c r="E93" s="507"/>
      <c r="F93" s="434"/>
      <c r="G93" s="149">
        <f t="shared" ref="G93" si="88">G92</f>
        <v>1</v>
      </c>
      <c r="H93" s="53" t="s">
        <v>164</v>
      </c>
      <c r="I93" s="22">
        <f t="shared" si="62"/>
        <v>8000</v>
      </c>
      <c r="J93" s="23">
        <f t="shared" si="63"/>
        <v>19</v>
      </c>
      <c r="K93" s="169">
        <v>9520</v>
      </c>
      <c r="L93" s="5">
        <f t="shared" si="64"/>
        <v>9520</v>
      </c>
      <c r="M93" s="412"/>
      <c r="N93" s="412"/>
      <c r="O93" s="412"/>
      <c r="P93" s="86">
        <f t="shared" si="61"/>
        <v>9520</v>
      </c>
      <c r="Q93" s="414"/>
      <c r="R93" s="412"/>
      <c r="S93" s="416"/>
      <c r="T93" s="418"/>
      <c r="U93" s="408">
        <f t="shared" si="51"/>
        <v>0</v>
      </c>
      <c r="V93" s="504"/>
    </row>
    <row r="94" spans="1:22" ht="45" customHeight="1" x14ac:dyDescent="0.3">
      <c r="A94" s="496">
        <v>45</v>
      </c>
      <c r="B94" s="505">
        <v>41111604</v>
      </c>
      <c r="C94" s="506" t="s">
        <v>165</v>
      </c>
      <c r="D94" s="506" t="s">
        <v>166</v>
      </c>
      <c r="E94" s="507" t="s">
        <v>78</v>
      </c>
      <c r="F94" s="434" t="s">
        <v>79</v>
      </c>
      <c r="G94" s="149">
        <v>1</v>
      </c>
      <c r="H94" s="24" t="s">
        <v>167</v>
      </c>
      <c r="I94" s="22">
        <f t="shared" si="62"/>
        <v>5990.0000000000009</v>
      </c>
      <c r="J94" s="23">
        <f t="shared" si="63"/>
        <v>18.999999999999989</v>
      </c>
      <c r="K94" s="169">
        <v>7128.1</v>
      </c>
      <c r="L94" s="5">
        <f t="shared" si="64"/>
        <v>7128.1</v>
      </c>
      <c r="M94" s="411">
        <f t="shared" ref="M94" si="89">IFERROR(AVERAGE(L94:L95),"")</f>
        <v>6777.05</v>
      </c>
      <c r="N94" s="411">
        <f>IFERROR(HARMEAN(L94:L95),"")</f>
        <v>6758.8656716417909</v>
      </c>
      <c r="O94" s="411">
        <f>IFERROR(MEDIAN(L94:L95),"")</f>
        <v>6777.05</v>
      </c>
      <c r="P94" s="86">
        <f t="shared" si="61"/>
        <v>7128.1</v>
      </c>
      <c r="Q94" s="413">
        <f>IFERROR(SUM(P94:P95)/COUNTA(K94:K95),"")</f>
        <v>6777.05</v>
      </c>
      <c r="R94" s="411">
        <f>IFERROR(_xlfn.STDEV.S(L94:L95),"")</f>
        <v>496.45967107107526</v>
      </c>
      <c r="S94" s="415">
        <f>IFERROR(R94/M94,"")</f>
        <v>7.3256014205454481E-2</v>
      </c>
      <c r="T94" s="417" t="s">
        <v>2005</v>
      </c>
      <c r="U94" s="407">
        <f t="shared" si="51"/>
        <v>6777.05</v>
      </c>
      <c r="V94" s="503" t="e" vm="41">
        <v>#VALUE!</v>
      </c>
    </row>
    <row r="95" spans="1:22" ht="45" customHeight="1" x14ac:dyDescent="0.3">
      <c r="A95" s="496"/>
      <c r="B95" s="505"/>
      <c r="C95" s="506"/>
      <c r="D95" s="506"/>
      <c r="E95" s="507"/>
      <c r="F95" s="434"/>
      <c r="G95" s="149">
        <f t="shared" ref="G95" si="90">G94</f>
        <v>1</v>
      </c>
      <c r="H95" s="53" t="s">
        <v>168</v>
      </c>
      <c r="I95" s="22">
        <f t="shared" si="62"/>
        <v>5400</v>
      </c>
      <c r="J95" s="23">
        <f t="shared" si="63"/>
        <v>19</v>
      </c>
      <c r="K95" s="169">
        <v>6426</v>
      </c>
      <c r="L95" s="5">
        <f t="shared" si="64"/>
        <v>6426</v>
      </c>
      <c r="M95" s="412"/>
      <c r="N95" s="412"/>
      <c r="O95" s="412"/>
      <c r="P95" s="86">
        <f t="shared" si="61"/>
        <v>6426</v>
      </c>
      <c r="Q95" s="414"/>
      <c r="R95" s="412"/>
      <c r="S95" s="416"/>
      <c r="T95" s="418"/>
      <c r="U95" s="408">
        <f t="shared" si="51"/>
        <v>0</v>
      </c>
      <c r="V95" s="504"/>
    </row>
    <row r="96" spans="1:22" ht="45" customHeight="1" x14ac:dyDescent="0.3">
      <c r="A96" s="496">
        <v>46</v>
      </c>
      <c r="B96" s="505">
        <v>41111604</v>
      </c>
      <c r="C96" s="506" t="s">
        <v>169</v>
      </c>
      <c r="D96" s="506" t="s">
        <v>170</v>
      </c>
      <c r="E96" s="507" t="s">
        <v>78</v>
      </c>
      <c r="F96" s="434" t="s">
        <v>79</v>
      </c>
      <c r="G96" s="149">
        <v>1</v>
      </c>
      <c r="H96" s="24" t="s">
        <v>80</v>
      </c>
      <c r="I96" s="22">
        <f t="shared" si="62"/>
        <v>28000</v>
      </c>
      <c r="J96" s="23">
        <f t="shared" si="63"/>
        <v>19</v>
      </c>
      <c r="K96" s="169">
        <v>33320</v>
      </c>
      <c r="L96" s="5">
        <f t="shared" si="64"/>
        <v>33320</v>
      </c>
      <c r="M96" s="411">
        <f t="shared" ref="M96" si="91">IFERROR(AVERAGE(L96:L97),"")</f>
        <v>27310.5</v>
      </c>
      <c r="N96" s="411">
        <f>IFERROR(HARMEAN(L96:L97),"")</f>
        <v>25988.148148148146</v>
      </c>
      <c r="O96" s="411">
        <f>IFERROR(MEDIAN(L96:L97),"")</f>
        <v>27310.5</v>
      </c>
      <c r="P96" s="86">
        <f t="shared" si="61"/>
        <v>33320</v>
      </c>
      <c r="Q96" s="413">
        <f>IFERROR(SUM(P96:P97)/COUNTA(K96:K97),"")</f>
        <v>27310.5</v>
      </c>
      <c r="R96" s="411">
        <f>IFERROR(_xlfn.STDEV.S(L96:L97),"")</f>
        <v>8498.7164030811145</v>
      </c>
      <c r="S96" s="415">
        <f>IFERROR(R96/M96,"")</f>
        <v>0.31118860522806668</v>
      </c>
      <c r="T96" s="417" t="s">
        <v>2005</v>
      </c>
      <c r="U96" s="407">
        <f t="shared" si="51"/>
        <v>27310.5</v>
      </c>
      <c r="V96" s="503" t="e" vm="42">
        <v>#VALUE!</v>
      </c>
    </row>
    <row r="97" spans="1:22" ht="45" customHeight="1" x14ac:dyDescent="0.3">
      <c r="A97" s="496"/>
      <c r="B97" s="505"/>
      <c r="C97" s="506"/>
      <c r="D97" s="506"/>
      <c r="E97" s="507"/>
      <c r="F97" s="434"/>
      <c r="G97" s="149">
        <f t="shared" ref="G97" si="92">G96</f>
        <v>1</v>
      </c>
      <c r="H97" s="53" t="s">
        <v>171</v>
      </c>
      <c r="I97" s="22">
        <f t="shared" si="62"/>
        <v>17900</v>
      </c>
      <c r="J97" s="23">
        <f t="shared" si="63"/>
        <v>19</v>
      </c>
      <c r="K97" s="169">
        <v>21301</v>
      </c>
      <c r="L97" s="5">
        <f t="shared" si="64"/>
        <v>21301</v>
      </c>
      <c r="M97" s="412"/>
      <c r="N97" s="412"/>
      <c r="O97" s="412"/>
      <c r="P97" s="86">
        <f t="shared" si="61"/>
        <v>21301</v>
      </c>
      <c r="Q97" s="414"/>
      <c r="R97" s="412"/>
      <c r="S97" s="416"/>
      <c r="T97" s="418"/>
      <c r="U97" s="408">
        <f t="shared" si="51"/>
        <v>0</v>
      </c>
      <c r="V97" s="504"/>
    </row>
    <row r="98" spans="1:22" ht="45" customHeight="1" x14ac:dyDescent="0.3">
      <c r="A98" s="496">
        <v>47</v>
      </c>
      <c r="B98" s="505">
        <v>41111604</v>
      </c>
      <c r="C98" s="506" t="s">
        <v>172</v>
      </c>
      <c r="D98" s="506" t="s">
        <v>173</v>
      </c>
      <c r="E98" s="507" t="s">
        <v>78</v>
      </c>
      <c r="F98" s="434" t="s">
        <v>79</v>
      </c>
      <c r="G98" s="149">
        <v>1</v>
      </c>
      <c r="H98" s="24" t="s">
        <v>174</v>
      </c>
      <c r="I98" s="22">
        <f t="shared" si="62"/>
        <v>10374</v>
      </c>
      <c r="J98" s="23">
        <f t="shared" si="63"/>
        <v>18.999999999999993</v>
      </c>
      <c r="K98" s="169">
        <v>12345.06</v>
      </c>
      <c r="L98" s="5">
        <f t="shared" si="64"/>
        <v>12345.06</v>
      </c>
      <c r="M98" s="411">
        <f t="shared" ref="M98" si="93">IFERROR(AVERAGE(L98:L99),"")</f>
        <v>16646.314999999999</v>
      </c>
      <c r="N98" s="411">
        <f>IFERROR(HARMEAN(L98:L99),"")</f>
        <v>15534.910189083888</v>
      </c>
      <c r="O98" s="411">
        <f>IFERROR(MEDIAN(L98:L99),"")</f>
        <v>16646.314999999999</v>
      </c>
      <c r="P98" s="86">
        <f t="shared" si="61"/>
        <v>12345.06</v>
      </c>
      <c r="Q98" s="413">
        <f>IFERROR(SUM(P98:P99)/COUNTA(K98:K99),"")</f>
        <v>16646.314999999999</v>
      </c>
      <c r="R98" s="411">
        <f>IFERROR(_xlfn.STDEV.S(L98:L99),"")</f>
        <v>6082.8931562251</v>
      </c>
      <c r="S98" s="415">
        <f>IFERROR(R98/M98,"")</f>
        <v>0.36541980349555447</v>
      </c>
      <c r="T98" s="417" t="s">
        <v>2005</v>
      </c>
      <c r="U98" s="407">
        <f t="shared" si="51"/>
        <v>16646.314999999999</v>
      </c>
      <c r="V98" s="503" t="e" vm="43">
        <v>#VALUE!</v>
      </c>
    </row>
    <row r="99" spans="1:22" ht="45" customHeight="1" x14ac:dyDescent="0.3">
      <c r="A99" s="496"/>
      <c r="B99" s="505"/>
      <c r="C99" s="506"/>
      <c r="D99" s="506"/>
      <c r="E99" s="507"/>
      <c r="F99" s="434"/>
      <c r="G99" s="149">
        <f t="shared" ref="G99" si="94">G98</f>
        <v>1</v>
      </c>
      <c r="H99" s="53" t="s">
        <v>80</v>
      </c>
      <c r="I99" s="22">
        <f t="shared" si="62"/>
        <v>17603</v>
      </c>
      <c r="J99" s="23">
        <f t="shared" si="63"/>
        <v>18.999999999999996</v>
      </c>
      <c r="K99" s="169">
        <v>20947.57</v>
      </c>
      <c r="L99" s="5">
        <f t="shared" si="64"/>
        <v>20947.57</v>
      </c>
      <c r="M99" s="412"/>
      <c r="N99" s="412"/>
      <c r="O99" s="412"/>
      <c r="P99" s="86">
        <f t="shared" si="61"/>
        <v>20947.57</v>
      </c>
      <c r="Q99" s="414"/>
      <c r="R99" s="412"/>
      <c r="S99" s="416"/>
      <c r="T99" s="418"/>
      <c r="U99" s="408">
        <f t="shared" si="51"/>
        <v>0</v>
      </c>
      <c r="V99" s="504"/>
    </row>
    <row r="100" spans="1:22" ht="45" customHeight="1" x14ac:dyDescent="0.3">
      <c r="A100" s="496">
        <v>48</v>
      </c>
      <c r="B100" s="505">
        <v>41111604</v>
      </c>
      <c r="C100" s="506" t="s">
        <v>175</v>
      </c>
      <c r="D100" s="546" t="s">
        <v>176</v>
      </c>
      <c r="E100" s="434" t="s">
        <v>78</v>
      </c>
      <c r="F100" s="434" t="s">
        <v>79</v>
      </c>
      <c r="G100" s="149">
        <v>1</v>
      </c>
      <c r="H100" s="24" t="s">
        <v>177</v>
      </c>
      <c r="I100" s="22">
        <f t="shared" si="62"/>
        <v>11800</v>
      </c>
      <c r="J100" s="23">
        <f t="shared" si="63"/>
        <v>19</v>
      </c>
      <c r="K100" s="169">
        <v>14042</v>
      </c>
      <c r="L100" s="5">
        <f t="shared" si="64"/>
        <v>14042</v>
      </c>
      <c r="M100" s="411">
        <f t="shared" ref="M100" si="95">IFERROR(AVERAGE(L100:L101),"")</f>
        <v>15443.225</v>
      </c>
      <c r="N100" s="411">
        <f>IFERROR(HARMEAN(L100:L101),"")</f>
        <v>15316.086303217109</v>
      </c>
      <c r="O100" s="411">
        <f>IFERROR(MEDIAN(L100:L101),"")</f>
        <v>15443.225</v>
      </c>
      <c r="P100" s="86">
        <f t="shared" si="61"/>
        <v>14042</v>
      </c>
      <c r="Q100" s="413">
        <f>IFERROR(SUM(P100:P101)/COUNTA(K100:K101),"")</f>
        <v>15443.225</v>
      </c>
      <c r="R100" s="411">
        <f>IFERROR(_xlfn.STDEV.S(L100:L101),"")</f>
        <v>1981.6313989362407</v>
      </c>
      <c r="S100" s="415">
        <f>IFERROR(R100/M100,"")</f>
        <v>0.12831720051584047</v>
      </c>
      <c r="T100" s="417" t="s">
        <v>2005</v>
      </c>
      <c r="U100" s="407">
        <f t="shared" si="51"/>
        <v>15443.225</v>
      </c>
      <c r="V100" s="516" t="e" vm="44">
        <v>#VALUE!</v>
      </c>
    </row>
    <row r="101" spans="1:22" ht="45" customHeight="1" x14ac:dyDescent="0.3">
      <c r="A101" s="496"/>
      <c r="B101" s="505"/>
      <c r="C101" s="506"/>
      <c r="D101" s="546"/>
      <c r="E101" s="434"/>
      <c r="F101" s="434"/>
      <c r="G101" s="149">
        <f t="shared" ref="G101" si="96">G100</f>
        <v>1</v>
      </c>
      <c r="H101" s="53" t="s">
        <v>80</v>
      </c>
      <c r="I101" s="22">
        <f t="shared" si="62"/>
        <v>14155.000000000002</v>
      </c>
      <c r="J101" s="23">
        <f t="shared" si="63"/>
        <v>18.999999999999989</v>
      </c>
      <c r="K101" s="169">
        <v>16844.45</v>
      </c>
      <c r="L101" s="5">
        <f t="shared" si="64"/>
        <v>16844.45</v>
      </c>
      <c r="M101" s="412"/>
      <c r="N101" s="412"/>
      <c r="O101" s="412"/>
      <c r="P101" s="86">
        <f t="shared" si="61"/>
        <v>16844.45</v>
      </c>
      <c r="Q101" s="414"/>
      <c r="R101" s="412"/>
      <c r="S101" s="416"/>
      <c r="T101" s="418"/>
      <c r="U101" s="408">
        <f t="shared" si="51"/>
        <v>0</v>
      </c>
      <c r="V101" s="516"/>
    </row>
    <row r="102" spans="1:22" ht="45" customHeight="1" x14ac:dyDescent="0.3">
      <c r="A102" s="496">
        <v>49</v>
      </c>
      <c r="B102" s="505">
        <v>13102003</v>
      </c>
      <c r="C102" s="506" t="s">
        <v>178</v>
      </c>
      <c r="D102" s="546" t="s">
        <v>179</v>
      </c>
      <c r="E102" s="547" t="s">
        <v>78</v>
      </c>
      <c r="F102" s="547" t="s">
        <v>79</v>
      </c>
      <c r="G102" s="150">
        <v>1</v>
      </c>
      <c r="H102" s="24" t="s">
        <v>248</v>
      </c>
      <c r="I102" s="22">
        <f t="shared" si="62"/>
        <v>840.3361344537816</v>
      </c>
      <c r="J102" s="23">
        <f t="shared" si="63"/>
        <v>18.999999999999989</v>
      </c>
      <c r="K102" s="22">
        <v>1000</v>
      </c>
      <c r="L102" s="5">
        <f t="shared" si="64"/>
        <v>1000</v>
      </c>
      <c r="M102" s="411">
        <f t="shared" ref="M102" si="97">IFERROR(AVERAGE(L102:L103),"")</f>
        <v>2273.6949999999997</v>
      </c>
      <c r="N102" s="411">
        <f>IFERROR(HARMEAN(L102:L103),"")</f>
        <v>1560.1872722594721</v>
      </c>
      <c r="O102" s="411">
        <f>IFERROR(MEDIAN(L102:L103),"")</f>
        <v>2273.6949999999997</v>
      </c>
      <c r="P102" s="86">
        <f t="shared" si="61"/>
        <v>1000</v>
      </c>
      <c r="Q102" s="413">
        <f>IFERROR(SUM(P102:P103)/COUNTA(K102:K103),"")</f>
        <v>2273.6949999999997</v>
      </c>
      <c r="R102" s="411">
        <f>IFERROR(_xlfn.STDEV.S(L102:L103),"")</f>
        <v>1801.2767433268</v>
      </c>
      <c r="S102" s="415">
        <f>IFERROR(R102/M102,"")</f>
        <v>0.79222443789813513</v>
      </c>
      <c r="T102" s="417" t="s">
        <v>2005</v>
      </c>
      <c r="U102" s="407">
        <f t="shared" si="51"/>
        <v>2273.6949999999997</v>
      </c>
      <c r="V102" s="504" t="e" vm="45">
        <v>#VALUE!</v>
      </c>
    </row>
    <row r="103" spans="1:22" ht="45" customHeight="1" x14ac:dyDescent="0.3">
      <c r="A103" s="496"/>
      <c r="B103" s="505"/>
      <c r="C103" s="506"/>
      <c r="D103" s="546"/>
      <c r="E103" s="547"/>
      <c r="F103" s="547"/>
      <c r="G103" s="150">
        <f t="shared" ref="G103" si="98">G102</f>
        <v>1</v>
      </c>
      <c r="H103" s="53" t="s">
        <v>80</v>
      </c>
      <c r="I103" s="22">
        <f t="shared" si="62"/>
        <v>2981</v>
      </c>
      <c r="J103" s="23">
        <f t="shared" si="63"/>
        <v>18.999999999999993</v>
      </c>
      <c r="K103" s="169">
        <v>3547.39</v>
      </c>
      <c r="L103" s="5">
        <f t="shared" si="64"/>
        <v>3547.39</v>
      </c>
      <c r="M103" s="412"/>
      <c r="N103" s="412"/>
      <c r="O103" s="412"/>
      <c r="P103" s="86">
        <f t="shared" si="61"/>
        <v>3547.39</v>
      </c>
      <c r="Q103" s="414"/>
      <c r="R103" s="412"/>
      <c r="S103" s="416"/>
      <c r="T103" s="418"/>
      <c r="U103" s="408">
        <f t="shared" si="51"/>
        <v>0</v>
      </c>
      <c r="V103" s="504"/>
    </row>
    <row r="104" spans="1:22" ht="45" customHeight="1" x14ac:dyDescent="0.3">
      <c r="A104" s="496">
        <v>50</v>
      </c>
      <c r="B104" s="505">
        <v>271115</v>
      </c>
      <c r="C104" s="506" t="s">
        <v>180</v>
      </c>
      <c r="D104" s="506" t="s">
        <v>181</v>
      </c>
      <c r="E104" s="508" t="s">
        <v>78</v>
      </c>
      <c r="F104" s="435" t="s">
        <v>79</v>
      </c>
      <c r="G104" s="149">
        <v>1</v>
      </c>
      <c r="H104" s="24" t="s">
        <v>2014</v>
      </c>
      <c r="I104" s="22">
        <f t="shared" si="62"/>
        <v>4201.680672268908</v>
      </c>
      <c r="J104" s="23">
        <f t="shared" si="63"/>
        <v>18.999999999999989</v>
      </c>
      <c r="K104" s="22">
        <v>5000</v>
      </c>
      <c r="L104" s="5">
        <f t="shared" si="64"/>
        <v>5000</v>
      </c>
      <c r="M104" s="411">
        <f t="shared" ref="M104" si="99">IFERROR(AVERAGE(L104:L105),"")</f>
        <v>6000</v>
      </c>
      <c r="N104" s="411">
        <f>IFERROR(HARMEAN(L104:L105),"")</f>
        <v>5833.3333333333321</v>
      </c>
      <c r="O104" s="411">
        <f>IFERROR(MEDIAN(L104:L105),"")</f>
        <v>6000</v>
      </c>
      <c r="P104" s="86">
        <f t="shared" si="61"/>
        <v>5000</v>
      </c>
      <c r="Q104" s="413">
        <f>IFERROR(SUM(P104:P105)/COUNTA(K104:K105),"")</f>
        <v>6000</v>
      </c>
      <c r="R104" s="411">
        <f>IFERROR(_xlfn.STDEV.S(L104:L105),"")</f>
        <v>1414.2135623730951</v>
      </c>
      <c r="S104" s="415">
        <f>IFERROR(R104/M104,"")</f>
        <v>0.23570226039551584</v>
      </c>
      <c r="T104" s="417" t="s">
        <v>2005</v>
      </c>
      <c r="U104" s="407">
        <f t="shared" si="51"/>
        <v>6000</v>
      </c>
      <c r="V104" s="503" t="e" vm="46">
        <v>#VALUE!</v>
      </c>
    </row>
    <row r="105" spans="1:22" ht="45" customHeight="1" x14ac:dyDescent="0.3">
      <c r="A105" s="496"/>
      <c r="B105" s="505"/>
      <c r="C105" s="506"/>
      <c r="D105" s="506"/>
      <c r="E105" s="507"/>
      <c r="F105" s="434"/>
      <c r="G105" s="149">
        <f t="shared" ref="G105" si="100">G104</f>
        <v>1</v>
      </c>
      <c r="H105" s="53" t="s">
        <v>248</v>
      </c>
      <c r="I105" s="22">
        <f t="shared" si="62"/>
        <v>5882.3529411764712</v>
      </c>
      <c r="J105" s="23">
        <f t="shared" si="63"/>
        <v>18.999999999999989</v>
      </c>
      <c r="K105" s="22">
        <v>7000</v>
      </c>
      <c r="L105" s="5">
        <f t="shared" si="64"/>
        <v>7000</v>
      </c>
      <c r="M105" s="412"/>
      <c r="N105" s="412"/>
      <c r="O105" s="412"/>
      <c r="P105" s="86">
        <f t="shared" si="61"/>
        <v>7000</v>
      </c>
      <c r="Q105" s="414"/>
      <c r="R105" s="412"/>
      <c r="S105" s="416"/>
      <c r="T105" s="447"/>
      <c r="U105" s="408">
        <f t="shared" si="51"/>
        <v>0</v>
      </c>
      <c r="V105" s="504"/>
    </row>
    <row r="106" spans="1:22" ht="45" customHeight="1" x14ac:dyDescent="0.3">
      <c r="A106" s="496">
        <v>51</v>
      </c>
      <c r="B106" s="505">
        <v>44101602</v>
      </c>
      <c r="C106" s="506" t="s">
        <v>183</v>
      </c>
      <c r="D106" s="506" t="s">
        <v>184</v>
      </c>
      <c r="E106" s="507"/>
      <c r="F106" s="434"/>
      <c r="G106" s="149">
        <v>1</v>
      </c>
      <c r="H106" s="24" t="s">
        <v>91</v>
      </c>
      <c r="I106" s="22">
        <f t="shared" si="62"/>
        <v>2352.9411764705883</v>
      </c>
      <c r="J106" s="23">
        <f t="shared" si="63"/>
        <v>18.999999999999996</v>
      </c>
      <c r="K106" s="22">
        <v>2800</v>
      </c>
      <c r="L106" s="5">
        <f t="shared" si="64"/>
        <v>2800</v>
      </c>
      <c r="M106" s="542">
        <f t="shared" ref="M106" si="101">IFERROR(AVERAGE(L106:L107),"")</f>
        <v>3514</v>
      </c>
      <c r="N106" s="543">
        <f>IFERROR(HARMEAN(L106:L107),"")</f>
        <v>3368.9243027888451</v>
      </c>
      <c r="O106" s="542">
        <f>IFERROR(MEDIAN(L106:L107),"")</f>
        <v>3514</v>
      </c>
      <c r="P106" s="25">
        <f t="shared" si="61"/>
        <v>2800</v>
      </c>
      <c r="Q106" s="544">
        <f>IFERROR(SUM(P106:P107)/COUNTA(K106:K107),"")</f>
        <v>3514</v>
      </c>
      <c r="R106" s="542">
        <f>IFERROR(_xlfn.STDEV.S(L106:L107),"")</f>
        <v>1009.7484835343898</v>
      </c>
      <c r="S106" s="545">
        <f>IFERROR(R106/M106,"")</f>
        <v>0.2873501660598719</v>
      </c>
      <c r="T106" s="539" t="s">
        <v>2005</v>
      </c>
      <c r="U106" s="540">
        <f t="shared" si="51"/>
        <v>3514</v>
      </c>
      <c r="V106" s="529" t="e" vm="47">
        <v>#VALUE!</v>
      </c>
    </row>
    <row r="107" spans="1:22" ht="73.5" customHeight="1" x14ac:dyDescent="0.3">
      <c r="A107" s="496"/>
      <c r="B107" s="505"/>
      <c r="C107" s="506"/>
      <c r="D107" s="506"/>
      <c r="E107" s="507"/>
      <c r="F107" s="434"/>
      <c r="G107" s="149">
        <f t="shared" ref="G107" si="102">G106</f>
        <v>1</v>
      </c>
      <c r="H107" s="53" t="s">
        <v>147</v>
      </c>
      <c r="I107" s="22">
        <f t="shared" si="62"/>
        <v>3552.9411764705883</v>
      </c>
      <c r="J107" s="23">
        <f t="shared" si="63"/>
        <v>18.999999999999996</v>
      </c>
      <c r="K107" s="22">
        <v>4228</v>
      </c>
      <c r="L107" s="5">
        <f t="shared" si="64"/>
        <v>4228</v>
      </c>
      <c r="M107" s="542"/>
      <c r="N107" s="543"/>
      <c r="O107" s="542"/>
      <c r="P107" s="25">
        <f t="shared" si="61"/>
        <v>4228</v>
      </c>
      <c r="Q107" s="544"/>
      <c r="R107" s="542"/>
      <c r="S107" s="545"/>
      <c r="T107" s="539"/>
      <c r="U107" s="540">
        <f t="shared" si="51"/>
        <v>0</v>
      </c>
      <c r="V107" s="530"/>
    </row>
    <row r="108" spans="1:22" ht="73.5" customHeight="1" x14ac:dyDescent="0.3">
      <c r="A108" s="496">
        <v>52</v>
      </c>
      <c r="B108" s="498">
        <v>44101602</v>
      </c>
      <c r="C108" s="500" t="s">
        <v>183</v>
      </c>
      <c r="D108" s="500" t="s">
        <v>2016</v>
      </c>
      <c r="E108" s="507" t="s">
        <v>2017</v>
      </c>
      <c r="F108" s="507" t="s">
        <v>601</v>
      </c>
      <c r="G108" s="149">
        <v>1</v>
      </c>
      <c r="H108" s="218" t="s">
        <v>91</v>
      </c>
      <c r="I108" s="219">
        <f t="shared" si="62"/>
        <v>5042.0168067226896</v>
      </c>
      <c r="J108" s="149">
        <v>19</v>
      </c>
      <c r="K108" s="219">
        <v>6000</v>
      </c>
      <c r="L108" s="220">
        <f t="shared" si="64"/>
        <v>6000</v>
      </c>
      <c r="M108" s="533">
        <f t="shared" ref="M108" si="103">IFERROR(AVERAGE(L108:L109),"")</f>
        <v>6565</v>
      </c>
      <c r="N108" s="541">
        <f>IFERROR(HARMEAN(L108:L109),"")</f>
        <v>6516.3747143945156</v>
      </c>
      <c r="O108" s="533">
        <f>IFERROR(MEDIAN(L108:L109),"")</f>
        <v>6565</v>
      </c>
      <c r="P108" s="221">
        <f t="shared" si="61"/>
        <v>6000</v>
      </c>
      <c r="Q108" s="534">
        <f>IFERROR(SUM(P108:P109)/COUNTA(K108:K109),"")</f>
        <v>6565</v>
      </c>
      <c r="R108" s="533">
        <f>IFERROR(_xlfn.STDEV.S(L108:L109),"")</f>
        <v>799.03066274079868</v>
      </c>
      <c r="S108" s="535">
        <f>IFERROR(R108/M108,"")</f>
        <v>0.12171068739387642</v>
      </c>
      <c r="T108" s="536" t="s">
        <v>2005</v>
      </c>
      <c r="U108" s="537">
        <f t="shared" si="51"/>
        <v>6565</v>
      </c>
      <c r="V108" s="529" t="e" vm="47">
        <v>#VALUE!</v>
      </c>
    </row>
    <row r="109" spans="1:22" ht="73.5" customHeight="1" x14ac:dyDescent="0.3">
      <c r="A109" s="496"/>
      <c r="B109" s="538"/>
      <c r="C109" s="525"/>
      <c r="D109" s="525"/>
      <c r="E109" s="507"/>
      <c r="F109" s="507"/>
      <c r="G109" s="149">
        <v>1</v>
      </c>
      <c r="H109" s="222" t="s">
        <v>101</v>
      </c>
      <c r="I109" s="219">
        <f t="shared" si="62"/>
        <v>5991.5966386554628</v>
      </c>
      <c r="J109" s="149">
        <v>19</v>
      </c>
      <c r="K109" s="219">
        <v>7130</v>
      </c>
      <c r="L109" s="220">
        <f t="shared" si="64"/>
        <v>7130</v>
      </c>
      <c r="M109" s="533"/>
      <c r="N109" s="541"/>
      <c r="O109" s="533"/>
      <c r="P109" s="221">
        <f t="shared" si="61"/>
        <v>7130</v>
      </c>
      <c r="Q109" s="534"/>
      <c r="R109" s="533"/>
      <c r="S109" s="535"/>
      <c r="T109" s="536"/>
      <c r="U109" s="537">
        <f t="shared" si="51"/>
        <v>0</v>
      </c>
      <c r="V109" s="530"/>
    </row>
    <row r="110" spans="1:22" ht="45" customHeight="1" x14ac:dyDescent="0.3">
      <c r="A110" s="496">
        <v>53</v>
      </c>
      <c r="B110" s="531">
        <v>27112847</v>
      </c>
      <c r="C110" s="500" t="s">
        <v>185</v>
      </c>
      <c r="D110" s="506" t="s">
        <v>186</v>
      </c>
      <c r="E110" s="507" t="s">
        <v>78</v>
      </c>
      <c r="F110" s="434" t="s">
        <v>79</v>
      </c>
      <c r="G110" s="149">
        <v>1</v>
      </c>
      <c r="H110" s="24" t="s">
        <v>2018</v>
      </c>
      <c r="I110" s="22">
        <f t="shared" si="62"/>
        <v>10200</v>
      </c>
      <c r="J110" s="23">
        <f t="shared" si="63"/>
        <v>19</v>
      </c>
      <c r="K110" s="169">
        <v>12138</v>
      </c>
      <c r="L110" s="5">
        <f t="shared" si="64"/>
        <v>12138</v>
      </c>
      <c r="M110" s="412">
        <f t="shared" ref="M110" si="104">IFERROR(AVERAGE(L110:L111),"")</f>
        <v>11781</v>
      </c>
      <c r="N110" s="412">
        <f t="shared" ref="N110" si="105">IFERROR(HARMEAN(L110:L111),"")</f>
        <v>11770.181818181818</v>
      </c>
      <c r="O110" s="412">
        <f t="shared" ref="O110" si="106">IFERROR(MEDIAN(L110:L111),"")</f>
        <v>11781</v>
      </c>
      <c r="P110" s="77">
        <f t="shared" si="61"/>
        <v>12138</v>
      </c>
      <c r="Q110" s="414">
        <f t="shared" ref="Q110" si="107">IFERROR(SUM(P110:P111)/COUNTA(K110:K111),"")</f>
        <v>11781</v>
      </c>
      <c r="R110" s="412">
        <f t="shared" ref="R110" si="108">IFERROR(_xlfn.STDEV.S(L110:L111),"")</f>
        <v>504.87424176719492</v>
      </c>
      <c r="S110" s="416">
        <f t="shared" ref="S110" si="109">IFERROR(R110/M110,"")</f>
        <v>4.2854956435548333E-2</v>
      </c>
      <c r="T110" s="447" t="s">
        <v>2005</v>
      </c>
      <c r="U110" s="408">
        <f t="shared" si="51"/>
        <v>11781</v>
      </c>
      <c r="V110" s="503" t="e" vm="48">
        <v>#VALUE!</v>
      </c>
    </row>
    <row r="111" spans="1:22" ht="45" customHeight="1" x14ac:dyDescent="0.3">
      <c r="A111" s="496"/>
      <c r="B111" s="505">
        <v>24122002</v>
      </c>
      <c r="C111" s="532"/>
      <c r="D111" s="506" t="s">
        <v>187</v>
      </c>
      <c r="E111" s="507"/>
      <c r="F111" s="434"/>
      <c r="G111" s="149">
        <f t="shared" ref="G111" si="110">G110</f>
        <v>1</v>
      </c>
      <c r="H111" s="53" t="s">
        <v>2019</v>
      </c>
      <c r="I111" s="22">
        <f t="shared" si="62"/>
        <v>9600</v>
      </c>
      <c r="J111" s="23">
        <f t="shared" si="63"/>
        <v>19</v>
      </c>
      <c r="K111" s="169">
        <v>11424</v>
      </c>
      <c r="L111" s="5">
        <f t="shared" si="64"/>
        <v>11424</v>
      </c>
      <c r="M111" s="412"/>
      <c r="N111" s="412"/>
      <c r="O111" s="412"/>
      <c r="P111" s="86">
        <f t="shared" si="61"/>
        <v>11424</v>
      </c>
      <c r="Q111" s="414"/>
      <c r="R111" s="412"/>
      <c r="S111" s="416"/>
      <c r="T111" s="418"/>
      <c r="U111" s="408">
        <f t="shared" si="51"/>
        <v>0</v>
      </c>
      <c r="V111" s="504"/>
    </row>
    <row r="112" spans="1:22" ht="45" customHeight="1" x14ac:dyDescent="0.3">
      <c r="A112" s="496">
        <v>54</v>
      </c>
      <c r="B112" s="527">
        <v>27112847</v>
      </c>
      <c r="C112" s="453" t="s">
        <v>188</v>
      </c>
      <c r="D112" s="453" t="s">
        <v>189</v>
      </c>
      <c r="E112" s="434" t="s">
        <v>78</v>
      </c>
      <c r="F112" s="434" t="s">
        <v>79</v>
      </c>
      <c r="G112" s="149">
        <v>1</v>
      </c>
      <c r="H112" s="24" t="s">
        <v>147</v>
      </c>
      <c r="I112" s="22">
        <f t="shared" si="62"/>
        <v>22000</v>
      </c>
      <c r="J112" s="23">
        <f t="shared" si="63"/>
        <v>19</v>
      </c>
      <c r="K112" s="169">
        <v>26180</v>
      </c>
      <c r="L112" s="5">
        <f t="shared" si="64"/>
        <v>26180</v>
      </c>
      <c r="M112" s="411">
        <f t="shared" ref="M112" si="111">IFERROR(AVERAGE(L112:L113),"")</f>
        <v>22788.5</v>
      </c>
      <c r="N112" s="411">
        <f t="shared" ref="N112" si="112">IFERROR(HARMEAN(L112:L113),"")</f>
        <v>22283.759791122717</v>
      </c>
      <c r="O112" s="411">
        <f t="shared" ref="O112" si="113">IFERROR(MEDIAN(L112:L113),"")</f>
        <v>22788.5</v>
      </c>
      <c r="P112" s="86">
        <f t="shared" si="61"/>
        <v>26180</v>
      </c>
      <c r="Q112" s="413">
        <f t="shared" ref="Q112" si="114">IFERROR(SUM(P112:P113)/COUNTA(K112:K113),"")</f>
        <v>22788.5</v>
      </c>
      <c r="R112" s="411">
        <f t="shared" ref="R112" si="115">IFERROR(_xlfn.STDEV.S(L112:L113),"")</f>
        <v>4796.3052967883523</v>
      </c>
      <c r="S112" s="415">
        <f t="shared" ref="S112" si="116">IFERROR(R112/M112,"")</f>
        <v>0.21047042573176611</v>
      </c>
      <c r="T112" s="417" t="s">
        <v>2005</v>
      </c>
      <c r="U112" s="407">
        <f t="shared" si="51"/>
        <v>22788.5</v>
      </c>
      <c r="V112" s="503" t="e" vm="49">
        <v>#VALUE!</v>
      </c>
    </row>
    <row r="113" spans="1:22" ht="45" customHeight="1" x14ac:dyDescent="0.3">
      <c r="A113" s="496"/>
      <c r="B113" s="528"/>
      <c r="C113" s="454"/>
      <c r="D113" s="454"/>
      <c r="E113" s="435"/>
      <c r="F113" s="435"/>
      <c r="G113" s="149">
        <f t="shared" ref="G113" si="117">G112</f>
        <v>1</v>
      </c>
      <c r="H113" s="53" t="s">
        <v>101</v>
      </c>
      <c r="I113" s="22">
        <f t="shared" si="62"/>
        <v>16300</v>
      </c>
      <c r="J113" s="23">
        <f t="shared" si="63"/>
        <v>19</v>
      </c>
      <c r="K113" s="169">
        <v>19397</v>
      </c>
      <c r="L113" s="5">
        <f t="shared" si="64"/>
        <v>19397</v>
      </c>
      <c r="M113" s="412"/>
      <c r="N113" s="412"/>
      <c r="O113" s="412"/>
      <c r="P113" s="86">
        <f t="shared" si="61"/>
        <v>19397</v>
      </c>
      <c r="Q113" s="414"/>
      <c r="R113" s="412"/>
      <c r="S113" s="416"/>
      <c r="T113" s="418"/>
      <c r="U113" s="408">
        <f t="shared" si="51"/>
        <v>0</v>
      </c>
      <c r="V113" s="504"/>
    </row>
    <row r="114" spans="1:22" ht="45" customHeight="1" x14ac:dyDescent="0.3">
      <c r="A114" s="496">
        <v>55</v>
      </c>
      <c r="B114" s="527">
        <v>41121806</v>
      </c>
      <c r="C114" s="500" t="s">
        <v>190</v>
      </c>
      <c r="D114" s="500" t="s">
        <v>191</v>
      </c>
      <c r="E114" s="434" t="s">
        <v>78</v>
      </c>
      <c r="F114" s="434" t="s">
        <v>79</v>
      </c>
      <c r="G114" s="149">
        <v>1</v>
      </c>
      <c r="H114" s="24" t="s">
        <v>192</v>
      </c>
      <c r="I114" s="22">
        <f t="shared" si="62"/>
        <v>310</v>
      </c>
      <c r="J114" s="23">
        <f t="shared" si="63"/>
        <v>18.999999999999993</v>
      </c>
      <c r="K114" s="169">
        <v>368.9</v>
      </c>
      <c r="L114" s="5">
        <f t="shared" si="64"/>
        <v>368.9</v>
      </c>
      <c r="M114" s="411">
        <f t="shared" ref="M114" si="118">IFERROR(AVERAGE(L114:L115),"")</f>
        <v>346.28999999999996</v>
      </c>
      <c r="N114" s="411">
        <f t="shared" ref="N114" si="119">IFERROR(HARMEAN(L114:L115),"")</f>
        <v>344.81374570446735</v>
      </c>
      <c r="O114" s="411">
        <f t="shared" ref="O114" si="120">IFERROR(MEDIAN(L114:L115),"")</f>
        <v>346.28999999999996</v>
      </c>
      <c r="P114" s="86">
        <f t="shared" si="61"/>
        <v>368.9</v>
      </c>
      <c r="Q114" s="413">
        <f t="shared" ref="Q114" si="121">IFERROR(SUM(P114:P115)/COUNTA(K114:K115),"")</f>
        <v>346.28999999999996</v>
      </c>
      <c r="R114" s="411">
        <f t="shared" ref="R114" si="122">IFERROR(_xlfn.STDEV.S(L114:L115),"")</f>
        <v>31.975368645255656</v>
      </c>
      <c r="S114" s="415">
        <f t="shared" ref="S114" si="123">IFERROR(R114/M114,"")</f>
        <v>9.2336967989995841E-2</v>
      </c>
      <c r="T114" s="417" t="s">
        <v>2005</v>
      </c>
      <c r="U114" s="407">
        <f t="shared" si="51"/>
        <v>346.28999999999996</v>
      </c>
      <c r="V114" s="503" t="e" vm="50">
        <v>#VALUE!</v>
      </c>
    </row>
    <row r="115" spans="1:22" ht="45" customHeight="1" x14ac:dyDescent="0.3">
      <c r="A115" s="496"/>
      <c r="B115" s="528"/>
      <c r="C115" s="501"/>
      <c r="D115" s="501"/>
      <c r="E115" s="435"/>
      <c r="F115" s="435"/>
      <c r="G115" s="149">
        <f t="shared" ref="G115" si="124">G114</f>
        <v>1</v>
      </c>
      <c r="H115" s="53" t="s">
        <v>193</v>
      </c>
      <c r="I115" s="22">
        <f t="shared" si="62"/>
        <v>272</v>
      </c>
      <c r="J115" s="23">
        <f t="shared" si="63"/>
        <v>19.000000000000004</v>
      </c>
      <c r="K115" s="169">
        <v>323.68</v>
      </c>
      <c r="L115" s="5">
        <f t="shared" si="64"/>
        <v>323.68</v>
      </c>
      <c r="M115" s="412"/>
      <c r="N115" s="412"/>
      <c r="O115" s="412"/>
      <c r="P115" s="86">
        <f t="shared" si="61"/>
        <v>323.68</v>
      </c>
      <c r="Q115" s="414"/>
      <c r="R115" s="412"/>
      <c r="S115" s="416"/>
      <c r="T115" s="418"/>
      <c r="U115" s="408">
        <f t="shared" si="51"/>
        <v>0</v>
      </c>
      <c r="V115" s="504"/>
    </row>
    <row r="116" spans="1:22" ht="45" customHeight="1" x14ac:dyDescent="0.3">
      <c r="A116" s="496">
        <v>56</v>
      </c>
      <c r="B116" s="505">
        <v>12181502</v>
      </c>
      <c r="C116" s="506" t="s">
        <v>194</v>
      </c>
      <c r="D116" s="506" t="s">
        <v>195</v>
      </c>
      <c r="E116" s="507" t="s">
        <v>78</v>
      </c>
      <c r="F116" s="434" t="s">
        <v>79</v>
      </c>
      <c r="G116" s="149">
        <v>1</v>
      </c>
      <c r="H116" s="24" t="s">
        <v>101</v>
      </c>
      <c r="I116" s="22">
        <f t="shared" si="62"/>
        <v>25000</v>
      </c>
      <c r="J116" s="23">
        <f t="shared" si="63"/>
        <v>19</v>
      </c>
      <c r="K116" s="169">
        <v>29750</v>
      </c>
      <c r="L116" s="5">
        <f t="shared" si="64"/>
        <v>29750</v>
      </c>
      <c r="M116" s="411">
        <f t="shared" ref="M116" si="125">IFERROR(AVERAGE(L116:L117),"")</f>
        <v>28500.5</v>
      </c>
      <c r="N116" s="411">
        <f t="shared" ref="N116" si="126">IFERROR(HARMEAN(L116:L117),"")</f>
        <v>28445.720250521921</v>
      </c>
      <c r="O116" s="411">
        <f t="shared" ref="O116" si="127">IFERROR(MEDIAN(L116:L117),"")</f>
        <v>28500.5</v>
      </c>
      <c r="P116" s="86">
        <f t="shared" si="61"/>
        <v>29750</v>
      </c>
      <c r="Q116" s="413">
        <f t="shared" ref="Q116" si="128">IFERROR(SUM(P116:P117)/COUNTA(K116:K117),"")</f>
        <v>28500.5</v>
      </c>
      <c r="R116" s="411">
        <f t="shared" ref="R116" si="129">IFERROR(_xlfn.STDEV.S(L116:L117),"")</f>
        <v>1767.0598461851823</v>
      </c>
      <c r="S116" s="415">
        <f t="shared" ref="S116" si="130">IFERROR(R116/M116,"")</f>
        <v>6.200101212909185E-2</v>
      </c>
      <c r="T116" s="417" t="s">
        <v>2005</v>
      </c>
      <c r="U116" s="407">
        <f t="shared" si="51"/>
        <v>28500.5</v>
      </c>
      <c r="V116" s="503" t="e" vm="51">
        <v>#VALUE!</v>
      </c>
    </row>
    <row r="117" spans="1:22" ht="45" customHeight="1" x14ac:dyDescent="0.3">
      <c r="A117" s="496"/>
      <c r="B117" s="505"/>
      <c r="C117" s="506"/>
      <c r="D117" s="506"/>
      <c r="E117" s="508"/>
      <c r="F117" s="435"/>
      <c r="G117" s="149">
        <f t="shared" ref="G117" si="131">G116</f>
        <v>1</v>
      </c>
      <c r="H117" s="53" t="s">
        <v>80</v>
      </c>
      <c r="I117" s="22">
        <f t="shared" si="62"/>
        <v>22900</v>
      </c>
      <c r="J117" s="23">
        <f t="shared" si="63"/>
        <v>19</v>
      </c>
      <c r="K117" s="169">
        <v>27251</v>
      </c>
      <c r="L117" s="5">
        <f t="shared" si="64"/>
        <v>27251</v>
      </c>
      <c r="M117" s="412"/>
      <c r="N117" s="412"/>
      <c r="O117" s="412"/>
      <c r="P117" s="86">
        <f t="shared" si="61"/>
        <v>27251</v>
      </c>
      <c r="Q117" s="414"/>
      <c r="R117" s="412"/>
      <c r="S117" s="416"/>
      <c r="T117" s="418"/>
      <c r="U117" s="408">
        <f t="shared" si="51"/>
        <v>0</v>
      </c>
      <c r="V117" s="504"/>
    </row>
    <row r="118" spans="1:22" ht="45" customHeight="1" x14ac:dyDescent="0.3">
      <c r="A118" s="496">
        <v>57</v>
      </c>
      <c r="B118" s="505">
        <v>14121703</v>
      </c>
      <c r="C118" s="506" t="s">
        <v>196</v>
      </c>
      <c r="D118" s="526" t="s">
        <v>197</v>
      </c>
      <c r="E118" s="507" t="s">
        <v>42</v>
      </c>
      <c r="F118" s="434" t="s">
        <v>72</v>
      </c>
      <c r="G118" s="149">
        <v>1</v>
      </c>
      <c r="H118" s="24" t="s">
        <v>198</v>
      </c>
      <c r="I118" s="22">
        <f t="shared" si="62"/>
        <v>114270</v>
      </c>
      <c r="J118" s="23">
        <f t="shared" si="63"/>
        <v>18.999999999999989</v>
      </c>
      <c r="K118" s="169">
        <v>135981.29999999999</v>
      </c>
      <c r="L118" s="5">
        <f t="shared" si="64"/>
        <v>135981.29999999999</v>
      </c>
      <c r="M118" s="411">
        <f t="shared" ref="M118" si="132">IFERROR(AVERAGE(L118:L119),"")</f>
        <v>148018.15</v>
      </c>
      <c r="N118" s="411">
        <f t="shared" ref="N118" si="133">IFERROR(HARMEAN(L118:L119),"")</f>
        <v>147039.31221610322</v>
      </c>
      <c r="O118" s="411">
        <f t="shared" ref="O118" si="134">IFERROR(MEDIAN(L118:L119),"")</f>
        <v>148018.15</v>
      </c>
      <c r="P118" s="86">
        <f t="shared" si="61"/>
        <v>135981.29999999999</v>
      </c>
      <c r="Q118" s="413">
        <f t="shared" ref="Q118" si="135">IFERROR(SUM(P118:P119)/COUNTA(K118:K119),"")</f>
        <v>148018.15</v>
      </c>
      <c r="R118" s="411">
        <f t="shared" ref="R118" si="136">IFERROR(_xlfn.STDEV.S(L118:L119),"")</f>
        <v>17022.676518250599</v>
      </c>
      <c r="S118" s="415">
        <f t="shared" ref="S118" si="137">IFERROR(R118/M118,"")</f>
        <v>0.11500398105401669</v>
      </c>
      <c r="T118" s="417" t="s">
        <v>2005</v>
      </c>
      <c r="U118" s="407">
        <f t="shared" si="51"/>
        <v>148018.15</v>
      </c>
      <c r="V118" s="503" t="e" vm="52">
        <v>#VALUE!</v>
      </c>
    </row>
    <row r="119" spans="1:22" ht="45" customHeight="1" x14ac:dyDescent="0.3">
      <c r="A119" s="496"/>
      <c r="B119" s="505"/>
      <c r="C119" s="506"/>
      <c r="D119" s="526"/>
      <c r="E119" s="508"/>
      <c r="F119" s="435"/>
      <c r="G119" s="149">
        <f t="shared" ref="G119" si="138">G118</f>
        <v>1</v>
      </c>
      <c r="H119" s="53" t="s">
        <v>199</v>
      </c>
      <c r="I119" s="22">
        <f t="shared" si="62"/>
        <v>134500</v>
      </c>
      <c r="J119" s="23">
        <f t="shared" si="63"/>
        <v>19</v>
      </c>
      <c r="K119" s="169">
        <v>160055</v>
      </c>
      <c r="L119" s="5">
        <f t="shared" si="64"/>
        <v>160055</v>
      </c>
      <c r="M119" s="412"/>
      <c r="N119" s="412"/>
      <c r="O119" s="412"/>
      <c r="P119" s="86">
        <f t="shared" si="61"/>
        <v>160055</v>
      </c>
      <c r="Q119" s="414"/>
      <c r="R119" s="412"/>
      <c r="S119" s="416"/>
      <c r="T119" s="418"/>
      <c r="U119" s="408">
        <f t="shared" si="51"/>
        <v>0</v>
      </c>
      <c r="V119" s="504"/>
    </row>
    <row r="120" spans="1:22" ht="45" customHeight="1" x14ac:dyDescent="0.3">
      <c r="A120" s="496">
        <v>58</v>
      </c>
      <c r="B120" s="505">
        <v>23271806</v>
      </c>
      <c r="C120" s="506" t="s">
        <v>200</v>
      </c>
      <c r="D120" s="506" t="s">
        <v>201</v>
      </c>
      <c r="E120" s="507" t="s">
        <v>78</v>
      </c>
      <c r="F120" s="434" t="s">
        <v>79</v>
      </c>
      <c r="G120" s="149">
        <v>1</v>
      </c>
      <c r="H120" s="24" t="s">
        <v>80</v>
      </c>
      <c r="I120" s="22">
        <f t="shared" si="62"/>
        <v>79900</v>
      </c>
      <c r="J120" s="23">
        <f t="shared" si="63"/>
        <v>19</v>
      </c>
      <c r="K120" s="169">
        <v>95081</v>
      </c>
      <c r="L120" s="5">
        <f t="shared" si="64"/>
        <v>95081</v>
      </c>
      <c r="M120" s="411">
        <f t="shared" ref="M120" si="139">IFERROR(AVERAGE(L120:L121),"")</f>
        <v>83181</v>
      </c>
      <c r="N120" s="411">
        <f t="shared" ref="N120" si="140">IFERROR(HARMEAN(L120:L121),"")</f>
        <v>81478.567954220314</v>
      </c>
      <c r="O120" s="411">
        <f t="shared" ref="O120" si="141">IFERROR(MEDIAN(L120:L121),"")</f>
        <v>83181</v>
      </c>
      <c r="P120" s="86">
        <f t="shared" si="61"/>
        <v>95081</v>
      </c>
      <c r="Q120" s="413">
        <f t="shared" ref="Q120" si="142">IFERROR(SUM(P120:P121)/COUNTA(K120:K121),"")</f>
        <v>83181</v>
      </c>
      <c r="R120" s="411">
        <f t="shared" ref="R120" si="143">IFERROR(_xlfn.STDEV.S(L120:L121),"")</f>
        <v>16829.141392239831</v>
      </c>
      <c r="S120" s="415">
        <f t="shared" ref="S120" si="144">IFERROR(R120/M120,"")</f>
        <v>0.20231953682018528</v>
      </c>
      <c r="T120" s="417" t="s">
        <v>2005</v>
      </c>
      <c r="U120" s="407">
        <f t="shared" si="51"/>
        <v>83181</v>
      </c>
      <c r="V120" s="503" t="e" vm="53">
        <v>#VALUE!</v>
      </c>
    </row>
    <row r="121" spans="1:22" ht="45" customHeight="1" x14ac:dyDescent="0.3">
      <c r="A121" s="496"/>
      <c r="B121" s="505"/>
      <c r="C121" s="506"/>
      <c r="D121" s="506"/>
      <c r="E121" s="508"/>
      <c r="F121" s="435"/>
      <c r="G121" s="149">
        <f t="shared" ref="G121" si="145">G120</f>
        <v>1</v>
      </c>
      <c r="H121" s="53" t="s">
        <v>202</v>
      </c>
      <c r="I121" s="22">
        <f t="shared" si="62"/>
        <v>59900</v>
      </c>
      <c r="J121" s="23">
        <f t="shared" si="63"/>
        <v>19</v>
      </c>
      <c r="K121" s="169">
        <v>71281</v>
      </c>
      <c r="L121" s="5">
        <f t="shared" si="64"/>
        <v>71281</v>
      </c>
      <c r="M121" s="412"/>
      <c r="N121" s="412"/>
      <c r="O121" s="412"/>
      <c r="P121" s="86">
        <f t="shared" si="61"/>
        <v>71281</v>
      </c>
      <c r="Q121" s="414"/>
      <c r="R121" s="412"/>
      <c r="S121" s="416"/>
      <c r="T121" s="418"/>
      <c r="U121" s="408">
        <f t="shared" si="51"/>
        <v>0</v>
      </c>
      <c r="V121" s="504"/>
    </row>
    <row r="122" spans="1:22" ht="45" customHeight="1" x14ac:dyDescent="0.3">
      <c r="A122" s="496">
        <v>59</v>
      </c>
      <c r="B122" s="505">
        <v>40102003</v>
      </c>
      <c r="C122" s="506" t="s">
        <v>203</v>
      </c>
      <c r="D122" s="506" t="s">
        <v>204</v>
      </c>
      <c r="E122" s="507" t="s">
        <v>78</v>
      </c>
      <c r="F122" s="434" t="s">
        <v>79</v>
      </c>
      <c r="G122" s="149">
        <v>1</v>
      </c>
      <c r="H122" s="24" t="s">
        <v>101</v>
      </c>
      <c r="I122" s="22">
        <f t="shared" si="62"/>
        <v>33595.000000000007</v>
      </c>
      <c r="J122" s="23">
        <f t="shared" si="63"/>
        <v>18.999999999999982</v>
      </c>
      <c r="K122" s="169">
        <v>39978.050000000003</v>
      </c>
      <c r="L122" s="5">
        <f t="shared" si="64"/>
        <v>39978.050000000003</v>
      </c>
      <c r="M122" s="411">
        <f t="shared" ref="M122" si="146">IFERROR(AVERAGE(L122:L123),"")</f>
        <v>45798.34</v>
      </c>
      <c r="N122" s="411">
        <f t="shared" ref="N122" si="147">IFERROR(HARMEAN(L122:L123),"")</f>
        <v>45058.667433612223</v>
      </c>
      <c r="O122" s="411">
        <f t="shared" ref="O122" si="148">IFERROR(MEDIAN(L122:L123),"")</f>
        <v>45798.34</v>
      </c>
      <c r="P122" s="86">
        <f t="shared" si="61"/>
        <v>39978.050000000003</v>
      </c>
      <c r="Q122" s="413">
        <f t="shared" ref="Q122" si="149">IFERROR(SUM(P122:P123)/COUNTA(K122:K123),"")</f>
        <v>45798.34</v>
      </c>
      <c r="R122" s="411">
        <f t="shared" ref="R122" si="150">IFERROR(_xlfn.STDEV.S(L122:L123),"")</f>
        <v>8231.1330549445192</v>
      </c>
      <c r="S122" s="415">
        <f t="shared" ref="S122" si="151">IFERROR(R122/M122,"")</f>
        <v>0.17972557640614309</v>
      </c>
      <c r="T122" s="417" t="s">
        <v>2005</v>
      </c>
      <c r="U122" s="407">
        <f t="shared" si="51"/>
        <v>45798.34</v>
      </c>
      <c r="V122" s="503" t="e" vm="54">
        <v>#VALUE!</v>
      </c>
    </row>
    <row r="123" spans="1:22" ht="45" customHeight="1" x14ac:dyDescent="0.3">
      <c r="A123" s="496"/>
      <c r="B123" s="505"/>
      <c r="C123" s="506"/>
      <c r="D123" s="506"/>
      <c r="E123" s="508"/>
      <c r="F123" s="435"/>
      <c r="G123" s="149">
        <f t="shared" ref="G123" si="152">G122</f>
        <v>1</v>
      </c>
      <c r="H123" s="53" t="s">
        <v>80</v>
      </c>
      <c r="I123" s="22">
        <f t="shared" si="62"/>
        <v>43377</v>
      </c>
      <c r="J123" s="23">
        <f t="shared" si="63"/>
        <v>18.999999999999993</v>
      </c>
      <c r="K123" s="169">
        <v>51618.63</v>
      </c>
      <c r="L123" s="5">
        <f t="shared" si="64"/>
        <v>51618.63</v>
      </c>
      <c r="M123" s="412"/>
      <c r="N123" s="412"/>
      <c r="O123" s="412"/>
      <c r="P123" s="86">
        <f t="shared" si="61"/>
        <v>51618.63</v>
      </c>
      <c r="Q123" s="414"/>
      <c r="R123" s="412"/>
      <c r="S123" s="416"/>
      <c r="T123" s="418"/>
      <c r="U123" s="408">
        <f t="shared" si="51"/>
        <v>0</v>
      </c>
      <c r="V123" s="504"/>
    </row>
    <row r="124" spans="1:22" ht="45" customHeight="1" x14ac:dyDescent="0.3">
      <c r="A124" s="496">
        <v>60</v>
      </c>
      <c r="B124" s="505">
        <v>11151703</v>
      </c>
      <c r="C124" s="500" t="s">
        <v>205</v>
      </c>
      <c r="D124" s="506" t="s">
        <v>2020</v>
      </c>
      <c r="E124" s="507" t="s">
        <v>42</v>
      </c>
      <c r="F124" s="434" t="s">
        <v>155</v>
      </c>
      <c r="G124" s="149">
        <v>1</v>
      </c>
      <c r="H124" s="24" t="s">
        <v>206</v>
      </c>
      <c r="I124" s="22">
        <f t="shared" si="62"/>
        <v>1900</v>
      </c>
      <c r="J124" s="23">
        <f t="shared" si="63"/>
        <v>19</v>
      </c>
      <c r="K124" s="169">
        <v>2261</v>
      </c>
      <c r="L124" s="5">
        <f t="shared" si="64"/>
        <v>2261</v>
      </c>
      <c r="M124" s="411">
        <f t="shared" ref="M124" si="153">IFERROR(AVERAGE(L124:L125),"")</f>
        <v>2023</v>
      </c>
      <c r="N124" s="411">
        <f t="shared" ref="N124" si="154">IFERROR(HARMEAN(L124:L125),"")</f>
        <v>1995</v>
      </c>
      <c r="O124" s="411">
        <f t="shared" ref="O124" si="155">IFERROR(MEDIAN(L124:L125),"")</f>
        <v>2023</v>
      </c>
      <c r="P124" s="86">
        <f t="shared" si="61"/>
        <v>2261</v>
      </c>
      <c r="Q124" s="413">
        <f t="shared" ref="Q124" si="156">IFERROR(SUM(P124:P125)/COUNTA(K124:K125),"")</f>
        <v>2023</v>
      </c>
      <c r="R124" s="411">
        <f t="shared" ref="R124" si="157">IFERROR(_xlfn.STDEV.S(L124:L125),"")</f>
        <v>336.58282784479661</v>
      </c>
      <c r="S124" s="415">
        <f t="shared" ref="S124" si="158">IFERROR(R124/M124,"")</f>
        <v>0.16637806616154058</v>
      </c>
      <c r="T124" s="417" t="s">
        <v>2005</v>
      </c>
      <c r="U124" s="407">
        <f t="shared" ref="U124:U187" si="159">M124</f>
        <v>2023</v>
      </c>
      <c r="V124" s="503" t="e" vm="55">
        <v>#VALUE!</v>
      </c>
    </row>
    <row r="125" spans="1:22" ht="45" customHeight="1" x14ac:dyDescent="0.3">
      <c r="A125" s="496"/>
      <c r="B125" s="505">
        <v>23140000</v>
      </c>
      <c r="C125" s="525"/>
      <c r="D125" s="506" t="s">
        <v>207</v>
      </c>
      <c r="E125" s="508"/>
      <c r="F125" s="435"/>
      <c r="G125" s="149">
        <f t="shared" ref="G125" si="160">G124</f>
        <v>1</v>
      </c>
      <c r="H125" s="53" t="s">
        <v>44</v>
      </c>
      <c r="I125" s="22">
        <f t="shared" si="62"/>
        <v>1500</v>
      </c>
      <c r="J125" s="23">
        <f t="shared" si="63"/>
        <v>19</v>
      </c>
      <c r="K125" s="169">
        <v>1785</v>
      </c>
      <c r="L125" s="5">
        <f t="shared" si="64"/>
        <v>1785</v>
      </c>
      <c r="M125" s="412"/>
      <c r="N125" s="412"/>
      <c r="O125" s="412"/>
      <c r="P125" s="86">
        <f t="shared" si="61"/>
        <v>1785</v>
      </c>
      <c r="Q125" s="414"/>
      <c r="R125" s="412"/>
      <c r="S125" s="416"/>
      <c r="T125" s="418"/>
      <c r="U125" s="408">
        <f t="shared" si="159"/>
        <v>0</v>
      </c>
      <c r="V125" s="504"/>
    </row>
    <row r="126" spans="1:22" ht="45" customHeight="1" x14ac:dyDescent="0.3">
      <c r="A126" s="496">
        <v>61</v>
      </c>
      <c r="B126" s="505">
        <v>23140000</v>
      </c>
      <c r="C126" s="524" t="s">
        <v>208</v>
      </c>
      <c r="D126" s="506" t="s">
        <v>211</v>
      </c>
      <c r="E126" s="507" t="s">
        <v>78</v>
      </c>
      <c r="F126" s="434" t="s">
        <v>79</v>
      </c>
      <c r="G126" s="149">
        <v>1</v>
      </c>
      <c r="H126" s="24" t="s">
        <v>206</v>
      </c>
      <c r="I126" s="22">
        <f t="shared" si="62"/>
        <v>1600</v>
      </c>
      <c r="J126" s="23">
        <f t="shared" si="63"/>
        <v>19</v>
      </c>
      <c r="K126" s="169">
        <v>1904</v>
      </c>
      <c r="L126" s="5">
        <f t="shared" si="64"/>
        <v>1904</v>
      </c>
      <c r="M126" s="411">
        <f t="shared" ref="M126" si="161">IFERROR(AVERAGE(L126:L127),"")</f>
        <v>1487.5</v>
      </c>
      <c r="N126" s="411">
        <f t="shared" ref="N126" si="162">IFERROR(HARMEAN(L126:L127),"")</f>
        <v>1370.8799999999999</v>
      </c>
      <c r="O126" s="411">
        <f t="shared" ref="O126" si="163">IFERROR(MEDIAN(L126:L127),"")</f>
        <v>1487.5</v>
      </c>
      <c r="P126" s="86">
        <f t="shared" si="61"/>
        <v>1904</v>
      </c>
      <c r="Q126" s="413">
        <f t="shared" ref="Q126" si="164">IFERROR(SUM(P126:P127)/COUNTA(K126:K127),"")</f>
        <v>1487.5</v>
      </c>
      <c r="R126" s="411">
        <f t="shared" ref="R126" si="165">IFERROR(_xlfn.STDEV.S(L126:L127),"")</f>
        <v>589.01994872839407</v>
      </c>
      <c r="S126" s="415">
        <f t="shared" ref="S126" si="166">IFERROR(R126/M126,"")</f>
        <v>0.3959797974644666</v>
      </c>
      <c r="T126" s="417" t="s">
        <v>2005</v>
      </c>
      <c r="U126" s="407">
        <f t="shared" si="159"/>
        <v>1487.5</v>
      </c>
      <c r="V126" s="503" t="e" vm="56">
        <v>#VALUE!</v>
      </c>
    </row>
    <row r="127" spans="1:22" ht="45" customHeight="1" x14ac:dyDescent="0.3">
      <c r="A127" s="496"/>
      <c r="B127" s="505"/>
      <c r="C127" s="524"/>
      <c r="D127" s="506"/>
      <c r="E127" s="508"/>
      <c r="F127" s="435"/>
      <c r="G127" s="149">
        <f t="shared" ref="G127" si="167">G126</f>
        <v>1</v>
      </c>
      <c r="H127" s="53" t="s">
        <v>209</v>
      </c>
      <c r="I127" s="22">
        <f t="shared" si="62"/>
        <v>900</v>
      </c>
      <c r="J127" s="23">
        <f t="shared" si="63"/>
        <v>19</v>
      </c>
      <c r="K127" s="169">
        <v>1071</v>
      </c>
      <c r="L127" s="5">
        <f t="shared" si="64"/>
        <v>1071</v>
      </c>
      <c r="M127" s="412"/>
      <c r="N127" s="412"/>
      <c r="O127" s="412"/>
      <c r="P127" s="86">
        <f t="shared" si="61"/>
        <v>1071</v>
      </c>
      <c r="Q127" s="414"/>
      <c r="R127" s="412"/>
      <c r="S127" s="416"/>
      <c r="T127" s="418"/>
      <c r="U127" s="408">
        <f t="shared" si="159"/>
        <v>0</v>
      </c>
      <c r="V127" s="504"/>
    </row>
    <row r="128" spans="1:22" ht="45" customHeight="1" x14ac:dyDescent="0.3">
      <c r="A128" s="496">
        <v>62</v>
      </c>
      <c r="B128" s="505">
        <v>23140000</v>
      </c>
      <c r="C128" s="506" t="s">
        <v>210</v>
      </c>
      <c r="D128" s="506" t="s">
        <v>211</v>
      </c>
      <c r="E128" s="507" t="s">
        <v>78</v>
      </c>
      <c r="F128" s="434" t="s">
        <v>79</v>
      </c>
      <c r="G128" s="149">
        <v>1</v>
      </c>
      <c r="H128" s="24" t="s">
        <v>212</v>
      </c>
      <c r="I128" s="22">
        <f t="shared" si="62"/>
        <v>1600</v>
      </c>
      <c r="J128" s="23">
        <f t="shared" si="63"/>
        <v>19</v>
      </c>
      <c r="K128" s="169">
        <v>1904</v>
      </c>
      <c r="L128" s="5">
        <f t="shared" si="64"/>
        <v>1904</v>
      </c>
      <c r="M128" s="411">
        <f t="shared" ref="M128" si="168">IFERROR(AVERAGE(L128:L129),"")</f>
        <v>1487.5</v>
      </c>
      <c r="N128" s="411">
        <f t="shared" ref="N128" si="169">IFERROR(HARMEAN(L128:L129),"")</f>
        <v>1370.8799999999999</v>
      </c>
      <c r="O128" s="411">
        <f t="shared" ref="O128" si="170">IFERROR(MEDIAN(L128:L129),"")</f>
        <v>1487.5</v>
      </c>
      <c r="P128" s="86">
        <f t="shared" si="61"/>
        <v>1904</v>
      </c>
      <c r="Q128" s="413">
        <f t="shared" ref="Q128" si="171">IFERROR(SUM(P128:P129)/COUNTA(K128:K129),"")</f>
        <v>1487.5</v>
      </c>
      <c r="R128" s="411">
        <f t="shared" ref="R128" si="172">IFERROR(_xlfn.STDEV.S(L128:L129),"")</f>
        <v>589.01994872839407</v>
      </c>
      <c r="S128" s="415">
        <f t="shared" ref="S128" si="173">IFERROR(R128/M128,"")</f>
        <v>0.3959797974644666</v>
      </c>
      <c r="T128" s="417" t="s">
        <v>2005</v>
      </c>
      <c r="U128" s="407">
        <f t="shared" si="159"/>
        <v>1487.5</v>
      </c>
      <c r="V128" s="503" t="e" vm="57">
        <v>#VALUE!</v>
      </c>
    </row>
    <row r="129" spans="1:22" ht="45" customHeight="1" x14ac:dyDescent="0.3">
      <c r="A129" s="496"/>
      <c r="B129" s="505"/>
      <c r="C129" s="506"/>
      <c r="D129" s="506"/>
      <c r="E129" s="508"/>
      <c r="F129" s="435"/>
      <c r="G129" s="149">
        <f t="shared" ref="G129" si="174">G128</f>
        <v>1</v>
      </c>
      <c r="H129" s="53" t="s">
        <v>209</v>
      </c>
      <c r="I129" s="22">
        <f t="shared" si="62"/>
        <v>900</v>
      </c>
      <c r="J129" s="23">
        <f t="shared" si="63"/>
        <v>19</v>
      </c>
      <c r="K129" s="169">
        <v>1071</v>
      </c>
      <c r="L129" s="5">
        <f t="shared" si="64"/>
        <v>1071</v>
      </c>
      <c r="M129" s="412"/>
      <c r="N129" s="412"/>
      <c r="O129" s="412"/>
      <c r="P129" s="86">
        <f t="shared" si="61"/>
        <v>1071</v>
      </c>
      <c r="Q129" s="414"/>
      <c r="R129" s="412"/>
      <c r="S129" s="416"/>
      <c r="T129" s="418"/>
      <c r="U129" s="408">
        <f t="shared" si="159"/>
        <v>0</v>
      </c>
      <c r="V129" s="504"/>
    </row>
    <row r="130" spans="1:22" ht="45" customHeight="1" x14ac:dyDescent="0.3">
      <c r="A130" s="496">
        <v>63</v>
      </c>
      <c r="B130" s="266">
        <v>23140000</v>
      </c>
      <c r="C130" s="454" t="s">
        <v>213</v>
      </c>
      <c r="D130" s="454" t="s">
        <v>214</v>
      </c>
      <c r="E130" s="432" t="s">
        <v>78</v>
      </c>
      <c r="F130" s="434" t="s">
        <v>79</v>
      </c>
      <c r="G130" s="149">
        <v>1</v>
      </c>
      <c r="H130" s="24" t="s">
        <v>206</v>
      </c>
      <c r="I130" s="22">
        <f t="shared" si="62"/>
        <v>1250</v>
      </c>
      <c r="J130" s="23">
        <f t="shared" si="63"/>
        <v>19</v>
      </c>
      <c r="K130" s="169">
        <v>1487.5</v>
      </c>
      <c r="L130" s="5">
        <f t="shared" si="64"/>
        <v>1487.5</v>
      </c>
      <c r="M130" s="411">
        <f t="shared" ref="M130" si="175">IFERROR(AVERAGE(L130:L131),"")</f>
        <v>981.75</v>
      </c>
      <c r="N130" s="411">
        <f t="shared" ref="N130" si="176">IFERROR(HARMEAN(L130:L131),"")</f>
        <v>721.21212121212125</v>
      </c>
      <c r="O130" s="411">
        <f t="shared" ref="O130" si="177">IFERROR(MEDIAN(L130:L131),"")</f>
        <v>981.75</v>
      </c>
      <c r="P130" s="86">
        <f t="shared" si="61"/>
        <v>1487.5</v>
      </c>
      <c r="Q130" s="413">
        <f t="shared" ref="Q130" si="178">IFERROR(SUM(P130:P131)/COUNTA(K130:K131),"")</f>
        <v>981.75</v>
      </c>
      <c r="R130" s="411">
        <f t="shared" ref="R130" si="179">IFERROR(_xlfn.STDEV.S(L130:L131),"")</f>
        <v>715.23850917019286</v>
      </c>
      <c r="S130" s="415">
        <f t="shared" ref="S130" si="180">IFERROR(R130/M130,"")</f>
        <v>0.7285342594043217</v>
      </c>
      <c r="T130" s="417" t="s">
        <v>2005</v>
      </c>
      <c r="U130" s="407">
        <f t="shared" si="159"/>
        <v>981.75</v>
      </c>
      <c r="V130" s="504" t="e" vm="58">
        <v>#VALUE!</v>
      </c>
    </row>
    <row r="131" spans="1:22" ht="45" customHeight="1" x14ac:dyDescent="0.3">
      <c r="A131" s="496"/>
      <c r="B131" s="266"/>
      <c r="C131" s="454"/>
      <c r="D131" s="454"/>
      <c r="E131" s="433"/>
      <c r="F131" s="435"/>
      <c r="G131" s="149">
        <f t="shared" ref="G131" si="181">G130</f>
        <v>1</v>
      </c>
      <c r="H131" s="53" t="s">
        <v>209</v>
      </c>
      <c r="I131" s="22">
        <f t="shared" si="62"/>
        <v>400</v>
      </c>
      <c r="J131" s="23">
        <f t="shared" si="63"/>
        <v>19</v>
      </c>
      <c r="K131" s="169">
        <v>476</v>
      </c>
      <c r="L131" s="5">
        <f t="shared" si="64"/>
        <v>476</v>
      </c>
      <c r="M131" s="412"/>
      <c r="N131" s="412"/>
      <c r="O131" s="412"/>
      <c r="P131" s="86">
        <f t="shared" si="61"/>
        <v>476</v>
      </c>
      <c r="Q131" s="414"/>
      <c r="R131" s="412"/>
      <c r="S131" s="416"/>
      <c r="T131" s="418"/>
      <c r="U131" s="408">
        <f t="shared" si="159"/>
        <v>0</v>
      </c>
      <c r="V131" s="504"/>
    </row>
    <row r="132" spans="1:22" ht="45" customHeight="1" x14ac:dyDescent="0.3">
      <c r="A132" s="496">
        <v>64</v>
      </c>
      <c r="B132" s="409">
        <v>23140000</v>
      </c>
      <c r="C132" s="453" t="s">
        <v>215</v>
      </c>
      <c r="D132" s="453" t="s">
        <v>216</v>
      </c>
      <c r="E132" s="432" t="s">
        <v>78</v>
      </c>
      <c r="F132" s="434" t="s">
        <v>79</v>
      </c>
      <c r="G132" s="149">
        <v>1</v>
      </c>
      <c r="H132" s="24" t="s">
        <v>206</v>
      </c>
      <c r="I132" s="22">
        <f t="shared" si="62"/>
        <v>241.00000000000003</v>
      </c>
      <c r="J132" s="23">
        <f t="shared" si="63"/>
        <v>18.999999999999993</v>
      </c>
      <c r="K132" s="169">
        <v>286.79000000000002</v>
      </c>
      <c r="L132" s="5">
        <f t="shared" si="64"/>
        <v>286.79000000000002</v>
      </c>
      <c r="M132" s="411">
        <f t="shared" ref="M132" si="182">IFERROR(AVERAGE(L132:L133),"")</f>
        <v>528.95500000000004</v>
      </c>
      <c r="N132" s="411">
        <f t="shared" ref="N132" si="183">IFERROR(HARMEAN(L132:L133),"")</f>
        <v>418.08755905511816</v>
      </c>
      <c r="O132" s="411">
        <f t="shared" ref="O132" si="184">IFERROR(MEDIAN(L132:L133),"")</f>
        <v>528.95500000000004</v>
      </c>
      <c r="P132" s="86">
        <f t="shared" si="61"/>
        <v>286.79000000000002</v>
      </c>
      <c r="Q132" s="413">
        <f t="shared" ref="Q132" si="185">IFERROR(SUM(P132:P133)/COUNTA(K132:K133),"")</f>
        <v>528.95500000000004</v>
      </c>
      <c r="R132" s="411">
        <f t="shared" ref="R132" si="186">IFERROR(_xlfn.STDEV.S(L132:L133),"")</f>
        <v>342.47302733208045</v>
      </c>
      <c r="S132" s="415">
        <f t="shared" ref="S132" si="187">IFERROR(R132/M132,"")</f>
        <v>0.64745210335866077</v>
      </c>
      <c r="T132" s="417" t="s">
        <v>2005</v>
      </c>
      <c r="U132" s="407">
        <f t="shared" si="159"/>
        <v>528.95500000000004</v>
      </c>
      <c r="V132" s="503" t="e" vm="59">
        <v>#VALUE!</v>
      </c>
    </row>
    <row r="133" spans="1:22" ht="45" customHeight="1" x14ac:dyDescent="0.3">
      <c r="A133" s="496"/>
      <c r="B133" s="266"/>
      <c r="C133" s="454"/>
      <c r="D133" s="454"/>
      <c r="E133" s="433"/>
      <c r="F133" s="435"/>
      <c r="G133" s="149">
        <f t="shared" ref="G133:G158" si="188">G132</f>
        <v>1</v>
      </c>
      <c r="H133" s="53" t="s">
        <v>217</v>
      </c>
      <c r="I133" s="22">
        <f t="shared" si="62"/>
        <v>648</v>
      </c>
      <c r="J133" s="23">
        <f t="shared" si="63"/>
        <v>19</v>
      </c>
      <c r="K133" s="169">
        <v>771.12</v>
      </c>
      <c r="L133" s="5">
        <f t="shared" si="64"/>
        <v>771.12</v>
      </c>
      <c r="M133" s="412"/>
      <c r="N133" s="412"/>
      <c r="O133" s="412"/>
      <c r="P133" s="86">
        <f t="shared" ref="P133:P196" si="189">IF(L133="","",L133)</f>
        <v>771.12</v>
      </c>
      <c r="Q133" s="414"/>
      <c r="R133" s="412"/>
      <c r="S133" s="416"/>
      <c r="T133" s="418"/>
      <c r="U133" s="408">
        <f t="shared" si="159"/>
        <v>0</v>
      </c>
      <c r="V133" s="504"/>
    </row>
    <row r="134" spans="1:22" ht="45" customHeight="1" x14ac:dyDescent="0.3">
      <c r="A134" s="496">
        <v>65</v>
      </c>
      <c r="B134" s="409">
        <v>23140000</v>
      </c>
      <c r="C134" s="453" t="s">
        <v>218</v>
      </c>
      <c r="D134" s="453" t="s">
        <v>219</v>
      </c>
      <c r="E134" s="432" t="s">
        <v>78</v>
      </c>
      <c r="F134" s="434" t="s">
        <v>79</v>
      </c>
      <c r="G134" s="149">
        <f t="shared" si="188"/>
        <v>1</v>
      </c>
      <c r="H134" s="24" t="s">
        <v>206</v>
      </c>
      <c r="I134" s="22">
        <f t="shared" ref="I134:I197" si="190">IFERROR(K134/((100+J134)/100),"")</f>
        <v>243.00000000000003</v>
      </c>
      <c r="J134" s="23">
        <f t="shared" ref="J134:J197" si="191">IF(K134="","",(K134-(K134/1.19))/(K134/1.19)*100)</f>
        <v>18.999999999999993</v>
      </c>
      <c r="K134" s="169">
        <v>289.17</v>
      </c>
      <c r="L134" s="5">
        <f t="shared" si="64"/>
        <v>289.17</v>
      </c>
      <c r="M134" s="411">
        <f t="shared" ref="M134" si="192">IFERROR(AVERAGE(L134:L135),"")</f>
        <v>530.14499999999998</v>
      </c>
      <c r="N134" s="411">
        <f t="shared" ref="N134" si="193">IFERROR(HARMEAN(L134:L135),"")</f>
        <v>420.61090909090905</v>
      </c>
      <c r="O134" s="411">
        <f t="shared" ref="O134" si="194">IFERROR(MEDIAN(L134:L135),"")</f>
        <v>530.14499999999998</v>
      </c>
      <c r="P134" s="86">
        <f t="shared" si="189"/>
        <v>289.17</v>
      </c>
      <c r="Q134" s="413">
        <f t="shared" ref="Q134" si="195">IFERROR(SUM(P134:P135)/COUNTA(K134:K135),"")</f>
        <v>530.14499999999998</v>
      </c>
      <c r="R134" s="411">
        <f t="shared" ref="R134" si="196">IFERROR(_xlfn.STDEV.S(L134:L135),"")</f>
        <v>340.79011319285672</v>
      </c>
      <c r="S134" s="415">
        <f t="shared" ref="S134" si="197">IFERROR(R134/M134,"")</f>
        <v>0.64282434653322529</v>
      </c>
      <c r="T134" s="417" t="s">
        <v>2005</v>
      </c>
      <c r="U134" s="407">
        <f t="shared" si="159"/>
        <v>530.14499999999998</v>
      </c>
      <c r="V134" s="503" t="e" vm="58">
        <v>#VALUE!</v>
      </c>
    </row>
    <row r="135" spans="1:22" ht="45" customHeight="1" x14ac:dyDescent="0.3">
      <c r="A135" s="496"/>
      <c r="B135" s="266"/>
      <c r="C135" s="454"/>
      <c r="D135" s="454"/>
      <c r="E135" s="433"/>
      <c r="F135" s="435"/>
      <c r="G135" s="149">
        <f t="shared" si="188"/>
        <v>1</v>
      </c>
      <c r="H135" s="53" t="s">
        <v>217</v>
      </c>
      <c r="I135" s="22">
        <f t="shared" si="190"/>
        <v>648</v>
      </c>
      <c r="J135" s="23">
        <f t="shared" si="191"/>
        <v>19</v>
      </c>
      <c r="K135" s="169">
        <v>771.12</v>
      </c>
      <c r="L135" s="5">
        <f t="shared" si="64"/>
        <v>771.12</v>
      </c>
      <c r="M135" s="412"/>
      <c r="N135" s="412"/>
      <c r="O135" s="412"/>
      <c r="P135" s="86">
        <f t="shared" si="189"/>
        <v>771.12</v>
      </c>
      <c r="Q135" s="414"/>
      <c r="R135" s="412"/>
      <c r="S135" s="416"/>
      <c r="T135" s="418"/>
      <c r="U135" s="408">
        <f t="shared" si="159"/>
        <v>0</v>
      </c>
      <c r="V135" s="504"/>
    </row>
    <row r="136" spans="1:22" ht="45" customHeight="1" x14ac:dyDescent="0.3">
      <c r="A136" s="496">
        <v>66</v>
      </c>
      <c r="B136" s="409">
        <v>23140000</v>
      </c>
      <c r="C136" s="453" t="s">
        <v>220</v>
      </c>
      <c r="D136" s="453" t="s">
        <v>221</v>
      </c>
      <c r="E136" s="432" t="s">
        <v>78</v>
      </c>
      <c r="F136" s="434" t="s">
        <v>79</v>
      </c>
      <c r="G136" s="149">
        <f t="shared" si="188"/>
        <v>1</v>
      </c>
      <c r="H136" s="24" t="s">
        <v>206</v>
      </c>
      <c r="I136" s="22">
        <f t="shared" si="190"/>
        <v>600</v>
      </c>
      <c r="J136" s="23">
        <f t="shared" si="191"/>
        <v>19</v>
      </c>
      <c r="K136" s="169">
        <v>714</v>
      </c>
      <c r="L136" s="5">
        <f t="shared" ref="L136:L199" si="198">IF(I136="","",(K136)*G136)</f>
        <v>714</v>
      </c>
      <c r="M136" s="411">
        <f t="shared" ref="M136" si="199">IFERROR(AVERAGE(L136:L137),"")</f>
        <v>742.56</v>
      </c>
      <c r="N136" s="411">
        <f t="shared" ref="N136" si="200">IFERROR(HARMEAN(L136:L137),"")</f>
        <v>741.46153846153845</v>
      </c>
      <c r="O136" s="411">
        <f t="shared" ref="O136" si="201">IFERROR(MEDIAN(L136:L137),"")</f>
        <v>742.56</v>
      </c>
      <c r="P136" s="86">
        <f t="shared" si="189"/>
        <v>714</v>
      </c>
      <c r="Q136" s="413">
        <f t="shared" ref="Q136" si="202">IFERROR(SUM(P136:P137)/COUNTA(K136:K137),"")</f>
        <v>742.56</v>
      </c>
      <c r="R136" s="411">
        <f t="shared" ref="R136" si="203">IFERROR(_xlfn.STDEV.S(L136:L137),"")</f>
        <v>40.389939341375594</v>
      </c>
      <c r="S136" s="415">
        <f t="shared" ref="S136" si="204">IFERROR(R136/M136,"")</f>
        <v>5.4392829322042119E-2</v>
      </c>
      <c r="T136" s="417" t="s">
        <v>2005</v>
      </c>
      <c r="U136" s="407">
        <f t="shared" si="159"/>
        <v>742.56</v>
      </c>
      <c r="V136" s="503" t="e" vm="56">
        <v>#VALUE!</v>
      </c>
    </row>
    <row r="137" spans="1:22" ht="45" customHeight="1" x14ac:dyDescent="0.3">
      <c r="A137" s="496"/>
      <c r="B137" s="266"/>
      <c r="C137" s="454"/>
      <c r="D137" s="454"/>
      <c r="E137" s="433"/>
      <c r="F137" s="435"/>
      <c r="G137" s="149">
        <f t="shared" si="188"/>
        <v>1</v>
      </c>
      <c r="H137" s="53" t="s">
        <v>217</v>
      </c>
      <c r="I137" s="22">
        <f t="shared" si="190"/>
        <v>648</v>
      </c>
      <c r="J137" s="23">
        <f t="shared" si="191"/>
        <v>19</v>
      </c>
      <c r="K137" s="169">
        <v>771.12</v>
      </c>
      <c r="L137" s="5">
        <f t="shared" si="198"/>
        <v>771.12</v>
      </c>
      <c r="M137" s="412"/>
      <c r="N137" s="412"/>
      <c r="O137" s="412"/>
      <c r="P137" s="86">
        <f t="shared" si="189"/>
        <v>771.12</v>
      </c>
      <c r="Q137" s="414"/>
      <c r="R137" s="412"/>
      <c r="S137" s="416"/>
      <c r="T137" s="418"/>
      <c r="U137" s="408">
        <f t="shared" si="159"/>
        <v>0</v>
      </c>
      <c r="V137" s="504"/>
    </row>
    <row r="138" spans="1:22" ht="45" customHeight="1" x14ac:dyDescent="0.3">
      <c r="A138" s="496">
        <v>67</v>
      </c>
      <c r="B138" s="409">
        <v>23140000</v>
      </c>
      <c r="C138" s="453" t="s">
        <v>222</v>
      </c>
      <c r="D138" s="453" t="s">
        <v>223</v>
      </c>
      <c r="E138" s="432" t="s">
        <v>78</v>
      </c>
      <c r="F138" s="434" t="s">
        <v>79</v>
      </c>
      <c r="G138" s="149">
        <f t="shared" si="188"/>
        <v>1</v>
      </c>
      <c r="H138" s="24" t="s">
        <v>206</v>
      </c>
      <c r="I138" s="22">
        <f t="shared" si="190"/>
        <v>241.00000000000003</v>
      </c>
      <c r="J138" s="23">
        <f t="shared" si="191"/>
        <v>18.999999999999993</v>
      </c>
      <c r="K138" s="169">
        <v>286.79000000000002</v>
      </c>
      <c r="L138" s="5">
        <f t="shared" si="198"/>
        <v>286.79000000000002</v>
      </c>
      <c r="M138" s="411">
        <f t="shared" ref="M138" si="205">IFERROR(AVERAGE(L138:L139),"")</f>
        <v>574.77</v>
      </c>
      <c r="N138" s="411">
        <f t="shared" ref="N138" si="206">IFERROR(HARMEAN(L138:L139),"")</f>
        <v>430.48188405797106</v>
      </c>
      <c r="O138" s="411">
        <f t="shared" ref="O138" si="207">IFERROR(MEDIAN(L138:L139),"")</f>
        <v>574.77</v>
      </c>
      <c r="P138" s="86">
        <f t="shared" si="189"/>
        <v>286.79000000000002</v>
      </c>
      <c r="Q138" s="413">
        <f t="shared" ref="Q138" si="208">IFERROR(SUM(P138:P139)/COUNTA(K138:K139),"")</f>
        <v>574.77</v>
      </c>
      <c r="R138" s="411">
        <f t="shared" ref="R138" si="209">IFERROR(_xlfn.STDEV.S(L138:L139),"")</f>
        <v>407.26522169220408</v>
      </c>
      <c r="S138" s="415">
        <f t="shared" ref="S138" si="210">IFERROR(R138/M138,"")</f>
        <v>0.70857077038155103</v>
      </c>
      <c r="T138" s="417" t="s">
        <v>2005</v>
      </c>
      <c r="U138" s="407">
        <f t="shared" si="159"/>
        <v>574.77</v>
      </c>
      <c r="V138" s="503" t="e" vm="57">
        <v>#VALUE!</v>
      </c>
    </row>
    <row r="139" spans="1:22" ht="45" customHeight="1" x14ac:dyDescent="0.3">
      <c r="A139" s="496"/>
      <c r="B139" s="266"/>
      <c r="C139" s="454"/>
      <c r="D139" s="454"/>
      <c r="E139" s="433"/>
      <c r="F139" s="435"/>
      <c r="G139" s="149">
        <f t="shared" si="188"/>
        <v>1</v>
      </c>
      <c r="H139" s="53" t="s">
        <v>224</v>
      </c>
      <c r="I139" s="22">
        <f t="shared" si="190"/>
        <v>725</v>
      </c>
      <c r="J139" s="23">
        <f t="shared" si="191"/>
        <v>19</v>
      </c>
      <c r="K139" s="169">
        <v>862.75</v>
      </c>
      <c r="L139" s="5">
        <f t="shared" si="198"/>
        <v>862.75</v>
      </c>
      <c r="M139" s="412"/>
      <c r="N139" s="412"/>
      <c r="O139" s="412"/>
      <c r="P139" s="86">
        <f t="shared" si="189"/>
        <v>862.75</v>
      </c>
      <c r="Q139" s="414"/>
      <c r="R139" s="412"/>
      <c r="S139" s="416"/>
      <c r="T139" s="418"/>
      <c r="U139" s="408">
        <f t="shared" si="159"/>
        <v>0</v>
      </c>
      <c r="V139" s="504"/>
    </row>
    <row r="140" spans="1:22" ht="45" customHeight="1" x14ac:dyDescent="0.3">
      <c r="A140" s="496">
        <v>68</v>
      </c>
      <c r="B140" s="409">
        <v>23140000</v>
      </c>
      <c r="C140" s="453" t="s">
        <v>225</v>
      </c>
      <c r="D140" s="453" t="s">
        <v>226</v>
      </c>
      <c r="E140" s="432" t="s">
        <v>78</v>
      </c>
      <c r="F140" s="434" t="s">
        <v>79</v>
      </c>
      <c r="G140" s="149">
        <f t="shared" si="188"/>
        <v>1</v>
      </c>
      <c r="H140" s="24" t="s">
        <v>206</v>
      </c>
      <c r="I140" s="22">
        <f t="shared" si="190"/>
        <v>1350</v>
      </c>
      <c r="J140" s="23">
        <f t="shared" si="191"/>
        <v>19</v>
      </c>
      <c r="K140" s="169">
        <v>1606.5</v>
      </c>
      <c r="L140" s="5">
        <f t="shared" si="198"/>
        <v>1606.5</v>
      </c>
      <c r="M140" s="411">
        <f t="shared" ref="M140" si="211">IFERROR(AVERAGE(L140:L141),"")</f>
        <v>2528.75</v>
      </c>
      <c r="N140" s="411">
        <f t="shared" ref="N140" si="212">IFERROR(HARMEAN(L140:L141),"")</f>
        <v>2192.4</v>
      </c>
      <c r="O140" s="411">
        <f t="shared" ref="O140" si="213">IFERROR(MEDIAN(L140:L141),"")</f>
        <v>2528.75</v>
      </c>
      <c r="P140" s="86">
        <f t="shared" si="189"/>
        <v>1606.5</v>
      </c>
      <c r="Q140" s="413">
        <f t="shared" ref="Q140" si="214">IFERROR(SUM(P140:P141)/COUNTA(K140:K141),"")</f>
        <v>2528.75</v>
      </c>
      <c r="R140" s="411">
        <f t="shared" ref="R140" si="215">IFERROR(_xlfn.STDEV.S(L140:L141),"")</f>
        <v>1304.2584578985868</v>
      </c>
      <c r="S140" s="415">
        <f t="shared" ref="S140" si="216">IFERROR(R140/M140,"")</f>
        <v>0.51577200510077581</v>
      </c>
      <c r="T140" s="417" t="s">
        <v>2005</v>
      </c>
      <c r="U140" s="407">
        <f t="shared" si="159"/>
        <v>2528.75</v>
      </c>
      <c r="V140" s="503" t="e" vm="60">
        <v>#VALUE!</v>
      </c>
    </row>
    <row r="141" spans="1:22" ht="45" customHeight="1" x14ac:dyDescent="0.3">
      <c r="A141" s="496"/>
      <c r="B141" s="266"/>
      <c r="C141" s="454"/>
      <c r="D141" s="454"/>
      <c r="E141" s="433"/>
      <c r="F141" s="435"/>
      <c r="G141" s="149">
        <f t="shared" si="188"/>
        <v>1</v>
      </c>
      <c r="H141" s="53" t="s">
        <v>227</v>
      </c>
      <c r="I141" s="22">
        <f t="shared" si="190"/>
        <v>2900</v>
      </c>
      <c r="J141" s="23">
        <f t="shared" si="191"/>
        <v>19</v>
      </c>
      <c r="K141" s="169">
        <v>3451</v>
      </c>
      <c r="L141" s="5">
        <f t="shared" si="198"/>
        <v>3451</v>
      </c>
      <c r="M141" s="412"/>
      <c r="N141" s="412"/>
      <c r="O141" s="412"/>
      <c r="P141" s="86">
        <f t="shared" si="189"/>
        <v>3451</v>
      </c>
      <c r="Q141" s="414"/>
      <c r="R141" s="412"/>
      <c r="S141" s="416"/>
      <c r="T141" s="418"/>
      <c r="U141" s="408">
        <f t="shared" si="159"/>
        <v>0</v>
      </c>
      <c r="V141" s="504"/>
    </row>
    <row r="142" spans="1:22" ht="45" customHeight="1" x14ac:dyDescent="0.3">
      <c r="A142" s="496">
        <v>69</v>
      </c>
      <c r="B142" s="409">
        <v>23140000</v>
      </c>
      <c r="C142" s="453" t="s">
        <v>228</v>
      </c>
      <c r="D142" s="453" t="s">
        <v>229</v>
      </c>
      <c r="E142" s="432" t="s">
        <v>78</v>
      </c>
      <c r="F142" s="434" t="s">
        <v>79</v>
      </c>
      <c r="G142" s="149">
        <f t="shared" si="188"/>
        <v>1</v>
      </c>
      <c r="H142" s="24" t="s">
        <v>206</v>
      </c>
      <c r="I142" s="22">
        <f t="shared" si="190"/>
        <v>1000</v>
      </c>
      <c r="J142" s="23">
        <f t="shared" si="191"/>
        <v>19</v>
      </c>
      <c r="K142" s="169">
        <v>1190</v>
      </c>
      <c r="L142" s="5">
        <f t="shared" si="198"/>
        <v>1190</v>
      </c>
      <c r="M142" s="411">
        <f t="shared" ref="M142" si="217">IFERROR(AVERAGE(L142:L143),"")</f>
        <v>1499.9949999999999</v>
      </c>
      <c r="N142" s="411">
        <f t="shared" ref="N142" si="218">IFERROR(HARMEAN(L142:L143),"")</f>
        <v>1435.9301864339548</v>
      </c>
      <c r="O142" s="411">
        <f t="shared" ref="O142" si="219">IFERROR(MEDIAN(L142:L143),"")</f>
        <v>1499.9949999999999</v>
      </c>
      <c r="P142" s="86">
        <f t="shared" si="189"/>
        <v>1190</v>
      </c>
      <c r="Q142" s="413">
        <f t="shared" ref="Q142" si="220">IFERROR(SUM(P142:P143)/COUNTA(K142:K143),"")</f>
        <v>1499.9949999999999</v>
      </c>
      <c r="R142" s="411">
        <f t="shared" ref="R142" si="221">IFERROR(_xlfn.STDEV.S(L142:L143),"")</f>
        <v>438.39913326784944</v>
      </c>
      <c r="S142" s="415">
        <f t="shared" ref="S142" si="222">IFERROR(R142/M142,"")</f>
        <v>0.29226706306877653</v>
      </c>
      <c r="T142" s="417" t="s">
        <v>2005</v>
      </c>
      <c r="U142" s="407">
        <f t="shared" si="159"/>
        <v>1499.9949999999999</v>
      </c>
      <c r="V142" s="503" t="e" vm="60">
        <v>#VALUE!</v>
      </c>
    </row>
    <row r="143" spans="1:22" ht="45" customHeight="1" x14ac:dyDescent="0.3">
      <c r="A143" s="496"/>
      <c r="B143" s="266"/>
      <c r="C143" s="454"/>
      <c r="D143" s="454"/>
      <c r="E143" s="433"/>
      <c r="F143" s="435"/>
      <c r="G143" s="149">
        <f t="shared" si="188"/>
        <v>1</v>
      </c>
      <c r="H143" s="53" t="s">
        <v>101</v>
      </c>
      <c r="I143" s="22">
        <f t="shared" si="190"/>
        <v>1521</v>
      </c>
      <c r="J143" s="23">
        <f t="shared" si="191"/>
        <v>19</v>
      </c>
      <c r="K143" s="169">
        <v>1809.99</v>
      </c>
      <c r="L143" s="5">
        <f t="shared" si="198"/>
        <v>1809.99</v>
      </c>
      <c r="M143" s="412"/>
      <c r="N143" s="412"/>
      <c r="O143" s="412"/>
      <c r="P143" s="86">
        <f t="shared" si="189"/>
        <v>1809.99</v>
      </c>
      <c r="Q143" s="414"/>
      <c r="R143" s="412"/>
      <c r="S143" s="416"/>
      <c r="T143" s="418"/>
      <c r="U143" s="408">
        <f t="shared" si="159"/>
        <v>0</v>
      </c>
      <c r="V143" s="504"/>
    </row>
    <row r="144" spans="1:22" ht="45" customHeight="1" x14ac:dyDescent="0.3">
      <c r="A144" s="496">
        <v>70</v>
      </c>
      <c r="B144" s="409">
        <v>23140000</v>
      </c>
      <c r="C144" s="453" t="s">
        <v>230</v>
      </c>
      <c r="D144" s="453" t="s">
        <v>231</v>
      </c>
      <c r="E144" s="432" t="s">
        <v>78</v>
      </c>
      <c r="F144" s="434" t="s">
        <v>79</v>
      </c>
      <c r="G144" s="149">
        <f t="shared" si="188"/>
        <v>1</v>
      </c>
      <c r="H144" s="24" t="s">
        <v>206</v>
      </c>
      <c r="I144" s="22">
        <f t="shared" si="190"/>
        <v>320</v>
      </c>
      <c r="J144" s="23">
        <f t="shared" si="191"/>
        <v>19.000000000000004</v>
      </c>
      <c r="K144" s="169">
        <v>380.8</v>
      </c>
      <c r="L144" s="5">
        <f t="shared" si="198"/>
        <v>380.8</v>
      </c>
      <c r="M144" s="411">
        <f t="shared" ref="M144" si="223">IFERROR(AVERAGE(L144:L145),"")</f>
        <v>339.15</v>
      </c>
      <c r="N144" s="411">
        <f t="shared" ref="N144" si="224">IFERROR(HARMEAN(L144:L145),"")</f>
        <v>334.03508771929825</v>
      </c>
      <c r="O144" s="411">
        <f t="shared" ref="O144" si="225">IFERROR(MEDIAN(L144:L145),"")</f>
        <v>339.15</v>
      </c>
      <c r="P144" s="86">
        <f t="shared" si="189"/>
        <v>380.8</v>
      </c>
      <c r="Q144" s="413">
        <f t="shared" ref="Q144" si="226">IFERROR(SUM(P144:P145)/COUNTA(K144:K145),"")</f>
        <v>339.15</v>
      </c>
      <c r="R144" s="411">
        <f t="shared" ref="R144" si="227">IFERROR(_xlfn.STDEV.S(L144:L145),"")</f>
        <v>58.901994872839715</v>
      </c>
      <c r="S144" s="415">
        <f t="shared" ref="S144" si="228">IFERROR(R144/M144,"")</f>
        <v>0.17367534976511786</v>
      </c>
      <c r="T144" s="417" t="s">
        <v>2005</v>
      </c>
      <c r="U144" s="407">
        <f t="shared" si="159"/>
        <v>339.15</v>
      </c>
      <c r="V144" s="503" t="e" vm="61">
        <v>#VALUE!</v>
      </c>
    </row>
    <row r="145" spans="1:22" ht="45" customHeight="1" x14ac:dyDescent="0.3">
      <c r="A145" s="496"/>
      <c r="B145" s="266"/>
      <c r="C145" s="454"/>
      <c r="D145" s="454"/>
      <c r="E145" s="433"/>
      <c r="F145" s="435"/>
      <c r="G145" s="149">
        <f t="shared" si="188"/>
        <v>1</v>
      </c>
      <c r="H145" s="53" t="s">
        <v>209</v>
      </c>
      <c r="I145" s="22">
        <f t="shared" si="190"/>
        <v>250</v>
      </c>
      <c r="J145" s="23">
        <f t="shared" si="191"/>
        <v>19</v>
      </c>
      <c r="K145" s="169">
        <v>297.5</v>
      </c>
      <c r="L145" s="5">
        <f t="shared" si="198"/>
        <v>297.5</v>
      </c>
      <c r="M145" s="412"/>
      <c r="N145" s="412"/>
      <c r="O145" s="412"/>
      <c r="P145" s="86">
        <f t="shared" si="189"/>
        <v>297.5</v>
      </c>
      <c r="Q145" s="414"/>
      <c r="R145" s="412"/>
      <c r="S145" s="416"/>
      <c r="T145" s="418"/>
      <c r="U145" s="408">
        <f t="shared" si="159"/>
        <v>0</v>
      </c>
      <c r="V145" s="504"/>
    </row>
    <row r="146" spans="1:22" ht="45" customHeight="1" x14ac:dyDescent="0.3">
      <c r="A146" s="496">
        <v>71</v>
      </c>
      <c r="B146" s="409">
        <v>23140000</v>
      </c>
      <c r="C146" s="453" t="s">
        <v>232</v>
      </c>
      <c r="D146" s="453" t="s">
        <v>231</v>
      </c>
      <c r="E146" s="432" t="s">
        <v>78</v>
      </c>
      <c r="F146" s="434" t="s">
        <v>79</v>
      </c>
      <c r="G146" s="149">
        <f t="shared" si="188"/>
        <v>1</v>
      </c>
      <c r="H146" s="24" t="s">
        <v>206</v>
      </c>
      <c r="I146" s="22">
        <f t="shared" si="190"/>
        <v>295</v>
      </c>
      <c r="J146" s="23">
        <f t="shared" si="191"/>
        <v>19.000000000000004</v>
      </c>
      <c r="K146" s="169">
        <v>351.05</v>
      </c>
      <c r="L146" s="5">
        <f t="shared" si="198"/>
        <v>351.05</v>
      </c>
      <c r="M146" s="411">
        <f t="shared" ref="M146" si="229">IFERROR(AVERAGE(L146:L147),"")</f>
        <v>324.27499999999998</v>
      </c>
      <c r="N146" s="411">
        <f t="shared" ref="N146" si="230">IFERROR(HARMEAN(L146:L147),"")</f>
        <v>322.06422018348627</v>
      </c>
      <c r="O146" s="411">
        <f t="shared" ref="O146" si="231">IFERROR(MEDIAN(L146:L147),"")</f>
        <v>324.27499999999998</v>
      </c>
      <c r="P146" s="86">
        <f t="shared" si="189"/>
        <v>351.05</v>
      </c>
      <c r="Q146" s="413">
        <f t="shared" ref="Q146" si="232">IFERROR(SUM(P146:P147)/COUNTA(K146:K147),"")</f>
        <v>324.27499999999998</v>
      </c>
      <c r="R146" s="411">
        <f t="shared" ref="R146" si="233">IFERROR(_xlfn.STDEV.S(L146:L147),"")</f>
        <v>37.865568132539629</v>
      </c>
      <c r="S146" s="415">
        <f t="shared" ref="S146" si="234">IFERROR(R146/M146,"")</f>
        <v>0.11676992716842073</v>
      </c>
      <c r="T146" s="417" t="s">
        <v>2005</v>
      </c>
      <c r="U146" s="407">
        <f t="shared" si="159"/>
        <v>324.27499999999998</v>
      </c>
      <c r="V146" s="503" t="e" vm="61">
        <v>#VALUE!</v>
      </c>
    </row>
    <row r="147" spans="1:22" ht="45" customHeight="1" x14ac:dyDescent="0.3">
      <c r="A147" s="496"/>
      <c r="B147" s="266"/>
      <c r="C147" s="454"/>
      <c r="D147" s="454"/>
      <c r="E147" s="433"/>
      <c r="F147" s="435"/>
      <c r="G147" s="149">
        <f t="shared" si="188"/>
        <v>1</v>
      </c>
      <c r="H147" s="53" t="s">
        <v>209</v>
      </c>
      <c r="I147" s="22">
        <f t="shared" si="190"/>
        <v>250</v>
      </c>
      <c r="J147" s="23">
        <f t="shared" si="191"/>
        <v>19</v>
      </c>
      <c r="K147" s="169">
        <v>297.5</v>
      </c>
      <c r="L147" s="5">
        <f t="shared" si="198"/>
        <v>297.5</v>
      </c>
      <c r="M147" s="412"/>
      <c r="N147" s="412"/>
      <c r="O147" s="412"/>
      <c r="P147" s="86">
        <f t="shared" si="189"/>
        <v>297.5</v>
      </c>
      <c r="Q147" s="414"/>
      <c r="R147" s="412"/>
      <c r="S147" s="416"/>
      <c r="T147" s="418"/>
      <c r="U147" s="408">
        <f t="shared" si="159"/>
        <v>0</v>
      </c>
      <c r="V147" s="504"/>
    </row>
    <row r="148" spans="1:22" ht="45" customHeight="1" x14ac:dyDescent="0.3">
      <c r="A148" s="496">
        <v>72</v>
      </c>
      <c r="B148" s="409">
        <v>23140000</v>
      </c>
      <c r="C148" s="453" t="s">
        <v>233</v>
      </c>
      <c r="D148" s="453" t="s">
        <v>2021</v>
      </c>
      <c r="E148" s="432" t="s">
        <v>78</v>
      </c>
      <c r="F148" s="434" t="s">
        <v>79</v>
      </c>
      <c r="G148" s="149">
        <f t="shared" si="188"/>
        <v>1</v>
      </c>
      <c r="H148" s="24" t="s">
        <v>101</v>
      </c>
      <c r="I148" s="22">
        <f t="shared" si="190"/>
        <v>1677.0000000000002</v>
      </c>
      <c r="J148" s="23">
        <f t="shared" si="191"/>
        <v>18.999999999999989</v>
      </c>
      <c r="K148" s="169">
        <v>1995.63</v>
      </c>
      <c r="L148" s="5">
        <f t="shared" si="198"/>
        <v>1995.63</v>
      </c>
      <c r="M148" s="411">
        <f t="shared" ref="M148" si="235">IFERROR(AVERAGE(L148:L149),"")</f>
        <v>1628.5150000000001</v>
      </c>
      <c r="N148" s="411">
        <f t="shared" ref="N148" si="236">IFERROR(HARMEAN(L148:L149),"")</f>
        <v>1545.7565217391307</v>
      </c>
      <c r="O148" s="411">
        <f t="shared" ref="O148" si="237">IFERROR(MEDIAN(L148:L149),"")</f>
        <v>1628.5150000000001</v>
      </c>
      <c r="P148" s="86">
        <f t="shared" si="189"/>
        <v>1995.63</v>
      </c>
      <c r="Q148" s="413">
        <f t="shared" ref="Q148" si="238">IFERROR(SUM(P148:P149)/COUNTA(K148:K149),"")</f>
        <v>1628.5150000000001</v>
      </c>
      <c r="R148" s="411">
        <f t="shared" ref="R148" si="239">IFERROR(_xlfn.STDEV.S(L148:L149),"")</f>
        <v>519.17901195059801</v>
      </c>
      <c r="S148" s="415">
        <f t="shared" ref="S148" si="240">IFERROR(R148/M148,"")</f>
        <v>0.31880517646481488</v>
      </c>
      <c r="T148" s="417" t="s">
        <v>2005</v>
      </c>
      <c r="U148" s="407">
        <f t="shared" si="159"/>
        <v>1628.5150000000001</v>
      </c>
      <c r="V148" s="503" t="e" vm="62">
        <v>#VALUE!</v>
      </c>
    </row>
    <row r="149" spans="1:22" ht="45" customHeight="1" x14ac:dyDescent="0.3">
      <c r="A149" s="496"/>
      <c r="B149" s="266"/>
      <c r="C149" s="454"/>
      <c r="D149" s="454"/>
      <c r="E149" s="433"/>
      <c r="F149" s="435"/>
      <c r="G149" s="149">
        <f t="shared" si="188"/>
        <v>1</v>
      </c>
      <c r="H149" s="53" t="s">
        <v>80</v>
      </c>
      <c r="I149" s="22">
        <f t="shared" si="190"/>
        <v>1060.0000000000002</v>
      </c>
      <c r="J149" s="23">
        <f t="shared" si="191"/>
        <v>18.999999999999982</v>
      </c>
      <c r="K149" s="169">
        <v>1261.4000000000001</v>
      </c>
      <c r="L149" s="5">
        <f t="shared" si="198"/>
        <v>1261.4000000000001</v>
      </c>
      <c r="M149" s="412"/>
      <c r="N149" s="412"/>
      <c r="O149" s="412"/>
      <c r="P149" s="86">
        <f t="shared" si="189"/>
        <v>1261.4000000000001</v>
      </c>
      <c r="Q149" s="414"/>
      <c r="R149" s="412"/>
      <c r="S149" s="416"/>
      <c r="T149" s="418"/>
      <c r="U149" s="408">
        <f t="shared" si="159"/>
        <v>0</v>
      </c>
      <c r="V149" s="504"/>
    </row>
    <row r="150" spans="1:22" ht="45" customHeight="1" x14ac:dyDescent="0.3">
      <c r="A150" s="496">
        <v>73</v>
      </c>
      <c r="B150" s="409">
        <v>23140000</v>
      </c>
      <c r="C150" s="453" t="s">
        <v>234</v>
      </c>
      <c r="D150" s="453" t="s">
        <v>2022</v>
      </c>
      <c r="E150" s="432" t="s">
        <v>78</v>
      </c>
      <c r="F150" s="434" t="s">
        <v>79</v>
      </c>
      <c r="G150" s="149">
        <f t="shared" si="188"/>
        <v>1</v>
      </c>
      <c r="H150" s="24" t="s">
        <v>206</v>
      </c>
      <c r="I150" s="22">
        <f t="shared" si="190"/>
        <v>1377.0000000000002</v>
      </c>
      <c r="J150" s="23">
        <f t="shared" si="191"/>
        <v>18.999999999999989</v>
      </c>
      <c r="K150" s="169">
        <v>1638.63</v>
      </c>
      <c r="L150" s="5">
        <f t="shared" si="198"/>
        <v>1638.63</v>
      </c>
      <c r="M150" s="411">
        <f t="shared" ref="M150" si="241">IFERROR(AVERAGE(L150:L151),"")</f>
        <v>1692.7750000000001</v>
      </c>
      <c r="N150" s="411">
        <f t="shared" ref="N150" si="242">IFERROR(HARMEAN(L150:L151),"")</f>
        <v>1691.043121265378</v>
      </c>
      <c r="O150" s="411">
        <f t="shared" ref="O150" si="243">IFERROR(MEDIAN(L150:L151),"")</f>
        <v>1692.7750000000001</v>
      </c>
      <c r="P150" s="86">
        <f t="shared" si="189"/>
        <v>1638.63</v>
      </c>
      <c r="Q150" s="413">
        <f>IFERROR(SUM(P150:P151)/COUNTA(K150:K151),"")</f>
        <v>1692.7750000000001</v>
      </c>
      <c r="R150" s="411">
        <f t="shared" ref="R150" si="244">IFERROR(_xlfn.STDEV.S(L150:L151),"")</f>
        <v>76.572593334691206</v>
      </c>
      <c r="S150" s="415">
        <f t="shared" ref="S150" si="245">IFERROR(R150/M150,"")</f>
        <v>4.5234950501213213E-2</v>
      </c>
      <c r="T150" s="417" t="s">
        <v>2005</v>
      </c>
      <c r="U150" s="407">
        <f t="shared" si="159"/>
        <v>1692.7750000000001</v>
      </c>
      <c r="V150" s="503" t="e" vm="63">
        <v>#VALUE!</v>
      </c>
    </row>
    <row r="151" spans="1:22" ht="45" customHeight="1" x14ac:dyDescent="0.3">
      <c r="A151" s="496"/>
      <c r="B151" s="266"/>
      <c r="C151" s="454"/>
      <c r="D151" s="454"/>
      <c r="E151" s="433"/>
      <c r="F151" s="435"/>
      <c r="G151" s="149">
        <f t="shared" si="188"/>
        <v>1</v>
      </c>
      <c r="H151" s="53" t="s">
        <v>101</v>
      </c>
      <c r="I151" s="22">
        <f t="shared" si="190"/>
        <v>1468.0000000000002</v>
      </c>
      <c r="J151" s="23">
        <f t="shared" si="191"/>
        <v>18.999999999999986</v>
      </c>
      <c r="K151" s="169">
        <v>1746.92</v>
      </c>
      <c r="L151" s="5">
        <f t="shared" si="198"/>
        <v>1746.92</v>
      </c>
      <c r="M151" s="412"/>
      <c r="N151" s="412"/>
      <c r="O151" s="412"/>
      <c r="P151" s="86">
        <f t="shared" si="189"/>
        <v>1746.92</v>
      </c>
      <c r="Q151" s="414"/>
      <c r="R151" s="412"/>
      <c r="S151" s="416"/>
      <c r="T151" s="418"/>
      <c r="U151" s="408">
        <f t="shared" si="159"/>
        <v>0</v>
      </c>
      <c r="V151" s="504"/>
    </row>
    <row r="152" spans="1:22" ht="45" customHeight="1" x14ac:dyDescent="0.3">
      <c r="A152" s="496">
        <v>74</v>
      </c>
      <c r="B152" s="409">
        <v>23140000</v>
      </c>
      <c r="C152" s="453" t="s">
        <v>235</v>
      </c>
      <c r="D152" s="453" t="s">
        <v>236</v>
      </c>
      <c r="E152" s="432" t="s">
        <v>78</v>
      </c>
      <c r="F152" s="434" t="s">
        <v>79</v>
      </c>
      <c r="G152" s="149">
        <f t="shared" si="188"/>
        <v>1</v>
      </c>
      <c r="H152" s="24" t="s">
        <v>101</v>
      </c>
      <c r="I152" s="22">
        <f t="shared" si="190"/>
        <v>6373</v>
      </c>
      <c r="J152" s="23">
        <f t="shared" si="191"/>
        <v>18.999999999999996</v>
      </c>
      <c r="K152" s="169">
        <v>7583.87</v>
      </c>
      <c r="L152" s="5">
        <f t="shared" si="198"/>
        <v>7583.87</v>
      </c>
      <c r="M152" s="411">
        <f t="shared" ref="M152" si="246">IFERROR(AVERAGE(L152:L153),"")</f>
        <v>12519.394999999999</v>
      </c>
      <c r="N152" s="411">
        <f t="shared" ref="N152" si="247">IFERROR(HARMEAN(L152:L153),"")</f>
        <v>10573.661438144574</v>
      </c>
      <c r="O152" s="411">
        <f t="shared" ref="O152" si="248">IFERROR(MEDIAN(L152:L153),"")</f>
        <v>12519.395</v>
      </c>
      <c r="P152" s="86">
        <f t="shared" si="189"/>
        <v>7583.87</v>
      </c>
      <c r="Q152" s="413">
        <f t="shared" ref="Q152" si="249">IFERROR(SUM(P152:P153)/COUNTA(K152:K153),"")</f>
        <v>12519.394999999999</v>
      </c>
      <c r="R152" s="411">
        <f t="shared" ref="R152" si="250">IFERROR(_xlfn.STDEV.S(L152:L153),"")</f>
        <v>6979.8863924314728</v>
      </c>
      <c r="S152" s="415">
        <f t="shared" ref="S152" si="251">IFERROR(R152/M152,"")</f>
        <v>0.55752585427901857</v>
      </c>
      <c r="T152" s="417" t="s">
        <v>2005</v>
      </c>
      <c r="U152" s="407">
        <f t="shared" si="159"/>
        <v>12519.394999999999</v>
      </c>
      <c r="V152" s="503" t="e" vm="64">
        <v>#VALUE!</v>
      </c>
    </row>
    <row r="153" spans="1:22" ht="45" customHeight="1" x14ac:dyDescent="0.3">
      <c r="A153" s="496"/>
      <c r="B153" s="266"/>
      <c r="C153" s="454"/>
      <c r="D153" s="454"/>
      <c r="E153" s="433"/>
      <c r="F153" s="435"/>
      <c r="G153" s="149">
        <f t="shared" si="188"/>
        <v>1</v>
      </c>
      <c r="H153" s="53" t="s">
        <v>122</v>
      </c>
      <c r="I153" s="22">
        <f t="shared" si="190"/>
        <v>14668</v>
      </c>
      <c r="J153" s="23">
        <f t="shared" si="191"/>
        <v>18.999999999999989</v>
      </c>
      <c r="K153" s="169">
        <v>17454.919999999998</v>
      </c>
      <c r="L153" s="5">
        <f t="shared" si="198"/>
        <v>17454.919999999998</v>
      </c>
      <c r="M153" s="412"/>
      <c r="N153" s="412"/>
      <c r="O153" s="412"/>
      <c r="P153" s="86">
        <f t="shared" si="189"/>
        <v>17454.919999999998</v>
      </c>
      <c r="Q153" s="414"/>
      <c r="R153" s="412"/>
      <c r="S153" s="416"/>
      <c r="T153" s="418"/>
      <c r="U153" s="408">
        <f t="shared" si="159"/>
        <v>0</v>
      </c>
      <c r="V153" s="504"/>
    </row>
    <row r="154" spans="1:22" ht="45" customHeight="1" x14ac:dyDescent="0.3">
      <c r="A154" s="496">
        <v>75</v>
      </c>
      <c r="B154" s="409">
        <v>23140000</v>
      </c>
      <c r="C154" s="453" t="s">
        <v>237</v>
      </c>
      <c r="D154" s="453" t="s">
        <v>238</v>
      </c>
      <c r="E154" s="432" t="s">
        <v>78</v>
      </c>
      <c r="F154" s="434" t="s">
        <v>79</v>
      </c>
      <c r="G154" s="149">
        <f t="shared" si="188"/>
        <v>1</v>
      </c>
      <c r="H154" s="24" t="s">
        <v>206</v>
      </c>
      <c r="I154" s="22">
        <f t="shared" si="190"/>
        <v>6373</v>
      </c>
      <c r="J154" s="23">
        <f t="shared" si="191"/>
        <v>18.999999999999996</v>
      </c>
      <c r="K154" s="169">
        <v>7583.87</v>
      </c>
      <c r="L154" s="5">
        <f t="shared" si="198"/>
        <v>7583.87</v>
      </c>
      <c r="M154" s="411">
        <f t="shared" ref="M154" si="252">IFERROR(AVERAGE(L154:L155),"")</f>
        <v>12519.394999999999</v>
      </c>
      <c r="N154" s="411">
        <f t="shared" ref="N154" si="253">IFERROR(HARMEAN(L154:L155),"")</f>
        <v>10573.661438144574</v>
      </c>
      <c r="O154" s="411">
        <f t="shared" ref="O154" si="254">IFERROR(MEDIAN(L154:L155),"")</f>
        <v>12519.395</v>
      </c>
      <c r="P154" s="86">
        <f t="shared" si="189"/>
        <v>7583.87</v>
      </c>
      <c r="Q154" s="413">
        <f t="shared" ref="Q154" si="255">IFERROR(SUM(P154:P155)/COUNTA(K154:K155),"")</f>
        <v>12519.394999999999</v>
      </c>
      <c r="R154" s="411">
        <f t="shared" ref="R154" si="256">IFERROR(_xlfn.STDEV.S(L154:L155),"")</f>
        <v>6979.8863924314728</v>
      </c>
      <c r="S154" s="415">
        <f t="shared" ref="S154" si="257">IFERROR(R154/M154,"")</f>
        <v>0.55752585427901857</v>
      </c>
      <c r="T154" s="417" t="s">
        <v>2005</v>
      </c>
      <c r="U154" s="407">
        <f t="shared" si="159"/>
        <v>12519.394999999999</v>
      </c>
      <c r="V154" s="503" t="e" vm="65">
        <v>#VALUE!</v>
      </c>
    </row>
    <row r="155" spans="1:22" ht="45" customHeight="1" x14ac:dyDescent="0.3">
      <c r="A155" s="496"/>
      <c r="B155" s="266"/>
      <c r="C155" s="454"/>
      <c r="D155" s="454"/>
      <c r="E155" s="433"/>
      <c r="F155" s="435"/>
      <c r="G155" s="149">
        <f t="shared" si="188"/>
        <v>1</v>
      </c>
      <c r="H155" s="53" t="s">
        <v>122</v>
      </c>
      <c r="I155" s="22">
        <f t="shared" si="190"/>
        <v>14668</v>
      </c>
      <c r="J155" s="23">
        <f t="shared" si="191"/>
        <v>18.999999999999989</v>
      </c>
      <c r="K155" s="169">
        <v>17454.919999999998</v>
      </c>
      <c r="L155" s="5">
        <f t="shared" si="198"/>
        <v>17454.919999999998</v>
      </c>
      <c r="M155" s="412"/>
      <c r="N155" s="412"/>
      <c r="O155" s="412"/>
      <c r="P155" s="86">
        <f t="shared" si="189"/>
        <v>17454.919999999998</v>
      </c>
      <c r="Q155" s="414"/>
      <c r="R155" s="412"/>
      <c r="S155" s="416"/>
      <c r="T155" s="418"/>
      <c r="U155" s="408">
        <f t="shared" si="159"/>
        <v>0</v>
      </c>
      <c r="V155" s="504"/>
    </row>
    <row r="156" spans="1:22" ht="45" customHeight="1" x14ac:dyDescent="0.3">
      <c r="A156" s="496">
        <v>76</v>
      </c>
      <c r="B156" s="409">
        <v>23140000</v>
      </c>
      <c r="C156" s="453" t="s">
        <v>239</v>
      </c>
      <c r="D156" s="453" t="s">
        <v>240</v>
      </c>
      <c r="E156" s="432" t="s">
        <v>78</v>
      </c>
      <c r="F156" s="434" t="s">
        <v>78</v>
      </c>
      <c r="G156" s="149">
        <f t="shared" si="188"/>
        <v>1</v>
      </c>
      <c r="H156" s="24" t="s">
        <v>206</v>
      </c>
      <c r="I156" s="22">
        <f t="shared" si="190"/>
        <v>6373</v>
      </c>
      <c r="J156" s="23">
        <f t="shared" si="191"/>
        <v>18.999999999999996</v>
      </c>
      <c r="K156" s="169">
        <v>7583.87</v>
      </c>
      <c r="L156" s="5">
        <f t="shared" si="198"/>
        <v>7583.87</v>
      </c>
      <c r="M156" s="411">
        <f t="shared" ref="M156" si="258">IFERROR(AVERAGE(L156:L157),"")</f>
        <v>12519.394999999999</v>
      </c>
      <c r="N156" s="411">
        <f t="shared" ref="N156" si="259">IFERROR(HARMEAN(L156:L157),"")</f>
        <v>10573.661438144574</v>
      </c>
      <c r="O156" s="411">
        <f t="shared" ref="O156" si="260">IFERROR(MEDIAN(L156:L157),"")</f>
        <v>12519.395</v>
      </c>
      <c r="P156" s="86">
        <f t="shared" si="189"/>
        <v>7583.87</v>
      </c>
      <c r="Q156" s="413">
        <f t="shared" ref="Q156" si="261">IFERROR(SUM(P156:P157)/COUNTA(K156:K157),"")</f>
        <v>12519.394999999999</v>
      </c>
      <c r="R156" s="411">
        <f t="shared" ref="R156" si="262">IFERROR(_xlfn.STDEV.S(L156:L157),"")</f>
        <v>6979.8863924314728</v>
      </c>
      <c r="S156" s="415">
        <f t="shared" ref="S156" si="263">IFERROR(R156/M156,"")</f>
        <v>0.55752585427901857</v>
      </c>
      <c r="T156" s="417" t="s">
        <v>2005</v>
      </c>
      <c r="U156" s="407">
        <f t="shared" si="159"/>
        <v>12519.394999999999</v>
      </c>
      <c r="V156" s="503" t="e" vm="66">
        <v>#VALUE!</v>
      </c>
    </row>
    <row r="157" spans="1:22" ht="45" customHeight="1" x14ac:dyDescent="0.3">
      <c r="A157" s="496"/>
      <c r="B157" s="266"/>
      <c r="C157" s="454"/>
      <c r="D157" s="454"/>
      <c r="E157" s="433"/>
      <c r="F157" s="435"/>
      <c r="G157" s="149">
        <f t="shared" si="188"/>
        <v>1</v>
      </c>
      <c r="H157" s="53" t="s">
        <v>122</v>
      </c>
      <c r="I157" s="22">
        <f t="shared" si="190"/>
        <v>14668</v>
      </c>
      <c r="J157" s="23">
        <f t="shared" si="191"/>
        <v>18.999999999999989</v>
      </c>
      <c r="K157" s="169">
        <v>17454.919999999998</v>
      </c>
      <c r="L157" s="5">
        <f t="shared" si="198"/>
        <v>17454.919999999998</v>
      </c>
      <c r="M157" s="412"/>
      <c r="N157" s="412"/>
      <c r="O157" s="412"/>
      <c r="P157" s="86">
        <f t="shared" si="189"/>
        <v>17454.919999999998</v>
      </c>
      <c r="Q157" s="414"/>
      <c r="R157" s="412"/>
      <c r="S157" s="416"/>
      <c r="T157" s="418"/>
      <c r="U157" s="408">
        <f t="shared" si="159"/>
        <v>0</v>
      </c>
      <c r="V157" s="504"/>
    </row>
    <row r="158" spans="1:22" ht="45" customHeight="1" x14ac:dyDescent="0.3">
      <c r="A158" s="496">
        <v>77</v>
      </c>
      <c r="B158" s="409">
        <v>23140000</v>
      </c>
      <c r="C158" s="453" t="s">
        <v>241</v>
      </c>
      <c r="D158" s="453" t="s">
        <v>242</v>
      </c>
      <c r="E158" s="432" t="s">
        <v>78</v>
      </c>
      <c r="F158" s="434" t="s">
        <v>79</v>
      </c>
      <c r="G158" s="149">
        <f t="shared" si="188"/>
        <v>1</v>
      </c>
      <c r="H158" s="24" t="s">
        <v>206</v>
      </c>
      <c r="I158" s="22">
        <f t="shared" si="190"/>
        <v>1170</v>
      </c>
      <c r="J158" s="23">
        <f t="shared" si="191"/>
        <v>18.999999999999996</v>
      </c>
      <c r="K158" s="169">
        <v>1392.3</v>
      </c>
      <c r="L158" s="5">
        <f t="shared" si="198"/>
        <v>1392.3</v>
      </c>
      <c r="M158" s="411">
        <f t="shared" ref="M158" si="264">IFERROR(AVERAGE(L158:L159),"")</f>
        <v>1973.6149999999998</v>
      </c>
      <c r="N158" s="411">
        <f t="shared" ref="N158" si="265">IFERROR(HARMEAN(L158:L159),"")</f>
        <v>1802.3925836599335</v>
      </c>
      <c r="O158" s="411">
        <f t="shared" ref="O158" si="266">IFERROR(MEDIAN(L158:L159),"")</f>
        <v>1973.6149999999998</v>
      </c>
      <c r="P158" s="86">
        <f t="shared" si="189"/>
        <v>1392.3</v>
      </c>
      <c r="Q158" s="413">
        <f t="shared" ref="Q158" si="267">IFERROR(SUM(P158:P159)/COUNTA(K158:K159),"")</f>
        <v>1973.6149999999998</v>
      </c>
      <c r="R158" s="411">
        <f t="shared" ref="R158" si="268">IFERROR(_xlfn.STDEV.S(L158:L159),"")</f>
        <v>822.10355701091612</v>
      </c>
      <c r="S158" s="415">
        <f t="shared" ref="S158" si="269">IFERROR(R158/M158,"")</f>
        <v>0.41654707580298905</v>
      </c>
      <c r="T158" s="417" t="s">
        <v>2005</v>
      </c>
      <c r="U158" s="407">
        <f t="shared" si="159"/>
        <v>1973.6149999999998</v>
      </c>
      <c r="V158" s="503" t="e" vm="67">
        <v>#VALUE!</v>
      </c>
    </row>
    <row r="159" spans="1:22" ht="45" customHeight="1" x14ac:dyDescent="0.3">
      <c r="A159" s="496"/>
      <c r="B159" s="266"/>
      <c r="C159" s="454"/>
      <c r="D159" s="454"/>
      <c r="E159" s="433"/>
      <c r="F159" s="435"/>
      <c r="G159" s="149">
        <f t="shared" ref="G159:G174" si="270">G158</f>
        <v>1</v>
      </c>
      <c r="H159" s="53" t="s">
        <v>243</v>
      </c>
      <c r="I159" s="22">
        <f t="shared" si="190"/>
        <v>2147</v>
      </c>
      <c r="J159" s="23">
        <f t="shared" si="191"/>
        <v>18.999999999999993</v>
      </c>
      <c r="K159" s="169">
        <v>2554.9299999999998</v>
      </c>
      <c r="L159" s="5">
        <f t="shared" si="198"/>
        <v>2554.9299999999998</v>
      </c>
      <c r="M159" s="412"/>
      <c r="N159" s="412"/>
      <c r="O159" s="412"/>
      <c r="P159" s="86">
        <f t="shared" si="189"/>
        <v>2554.9299999999998</v>
      </c>
      <c r="Q159" s="414"/>
      <c r="R159" s="412"/>
      <c r="S159" s="416"/>
      <c r="T159" s="418"/>
      <c r="U159" s="408">
        <f t="shared" si="159"/>
        <v>0</v>
      </c>
      <c r="V159" s="504"/>
    </row>
    <row r="160" spans="1:22" ht="45" customHeight="1" x14ac:dyDescent="0.3">
      <c r="A160" s="496">
        <v>78</v>
      </c>
      <c r="B160" s="409">
        <v>23140000</v>
      </c>
      <c r="C160" s="453" t="s">
        <v>244</v>
      </c>
      <c r="D160" s="453" t="s">
        <v>245</v>
      </c>
      <c r="E160" s="432" t="s">
        <v>78</v>
      </c>
      <c r="F160" s="434" t="s">
        <v>79</v>
      </c>
      <c r="G160" s="149">
        <f t="shared" si="270"/>
        <v>1</v>
      </c>
      <c r="H160" s="24" t="s">
        <v>206</v>
      </c>
      <c r="I160" s="22">
        <f t="shared" si="190"/>
        <v>1700</v>
      </c>
      <c r="J160" s="23">
        <f t="shared" si="191"/>
        <v>19</v>
      </c>
      <c r="K160" s="169">
        <v>2023</v>
      </c>
      <c r="L160" s="5">
        <f t="shared" si="198"/>
        <v>2023</v>
      </c>
      <c r="M160" s="411">
        <f t="shared" ref="M160" si="271">IFERROR(AVERAGE(L160:L161),"")</f>
        <v>2635.85</v>
      </c>
      <c r="N160" s="411">
        <f t="shared" ref="N160" si="272">IFERROR(HARMEAN(L160:L161),"")</f>
        <v>2493.3589164785553</v>
      </c>
      <c r="O160" s="411">
        <f t="shared" ref="O160" si="273">IFERROR(MEDIAN(L160:L161),"")</f>
        <v>2635.85</v>
      </c>
      <c r="P160" s="86">
        <f t="shared" si="189"/>
        <v>2023</v>
      </c>
      <c r="Q160" s="413">
        <f t="shared" ref="Q160" si="274">IFERROR(SUM(P160:P161)/COUNTA(K160:K161),"")</f>
        <v>2635.85</v>
      </c>
      <c r="R160" s="411">
        <f t="shared" ref="R160" si="275">IFERROR(_xlfn.STDEV.S(L160:L161),"")</f>
        <v>866.70078170035185</v>
      </c>
      <c r="S160" s="415">
        <f t="shared" ref="S160" si="276">IFERROR(R160/M160,"")</f>
        <v>0.32881263414092299</v>
      </c>
      <c r="T160" s="417" t="s">
        <v>2005</v>
      </c>
      <c r="U160" s="407">
        <f t="shared" si="159"/>
        <v>2635.85</v>
      </c>
      <c r="V160" s="503" t="e" vm="68">
        <v>#VALUE!</v>
      </c>
    </row>
    <row r="161" spans="1:22" ht="45" customHeight="1" x14ac:dyDescent="0.3">
      <c r="A161" s="496"/>
      <c r="B161" s="266"/>
      <c r="C161" s="454"/>
      <c r="D161" s="454"/>
      <c r="E161" s="433"/>
      <c r="F161" s="435"/>
      <c r="G161" s="149">
        <f t="shared" si="270"/>
        <v>1</v>
      </c>
      <c r="H161" s="53" t="s">
        <v>243</v>
      </c>
      <c r="I161" s="22">
        <f t="shared" si="190"/>
        <v>2730</v>
      </c>
      <c r="J161" s="23">
        <f t="shared" si="191"/>
        <v>18.999999999999993</v>
      </c>
      <c r="K161" s="169">
        <v>3248.7</v>
      </c>
      <c r="L161" s="5">
        <f t="shared" si="198"/>
        <v>3248.7</v>
      </c>
      <c r="M161" s="412"/>
      <c r="N161" s="412"/>
      <c r="O161" s="412"/>
      <c r="P161" s="86">
        <f t="shared" si="189"/>
        <v>3248.7</v>
      </c>
      <c r="Q161" s="414"/>
      <c r="R161" s="412"/>
      <c r="S161" s="416"/>
      <c r="T161" s="418"/>
      <c r="U161" s="408">
        <f t="shared" si="159"/>
        <v>0</v>
      </c>
      <c r="V161" s="504"/>
    </row>
    <row r="162" spans="1:22" ht="45" customHeight="1" x14ac:dyDescent="0.3">
      <c r="A162" s="496">
        <v>79</v>
      </c>
      <c r="B162" s="409">
        <v>23140000</v>
      </c>
      <c r="C162" s="453" t="s">
        <v>246</v>
      </c>
      <c r="D162" s="453" t="s">
        <v>247</v>
      </c>
      <c r="E162" s="432" t="s">
        <v>78</v>
      </c>
      <c r="F162" s="434" t="s">
        <v>79</v>
      </c>
      <c r="G162" s="149">
        <f t="shared" si="270"/>
        <v>1</v>
      </c>
      <c r="H162" s="24" t="s">
        <v>248</v>
      </c>
      <c r="I162" s="22">
        <f t="shared" si="190"/>
        <v>2200</v>
      </c>
      <c r="J162" s="23">
        <f t="shared" si="191"/>
        <v>19</v>
      </c>
      <c r="K162" s="169">
        <v>2618</v>
      </c>
      <c r="L162" s="5">
        <f t="shared" si="198"/>
        <v>2618</v>
      </c>
      <c r="M162" s="411">
        <f t="shared" ref="M162" si="277">IFERROR(AVERAGE(L162:L163),"")</f>
        <v>2933.35</v>
      </c>
      <c r="N162" s="411">
        <f t="shared" ref="N162" si="278">IFERROR(HARMEAN(L162:L163),"")</f>
        <v>2899.4482758620688</v>
      </c>
      <c r="O162" s="411">
        <f t="shared" ref="O162" si="279">IFERROR(MEDIAN(L162:L163),"")</f>
        <v>2933.35</v>
      </c>
      <c r="P162" s="86">
        <f t="shared" si="189"/>
        <v>2618</v>
      </c>
      <c r="Q162" s="413">
        <f t="shared" ref="Q162" si="280">IFERROR(SUM(P162:P163)/COUNTA(K162:K163),"")</f>
        <v>2933.35</v>
      </c>
      <c r="R162" s="411">
        <f t="shared" ref="R162" si="281">IFERROR(_xlfn.STDEV.S(L162:L163),"")</f>
        <v>445.97224689435251</v>
      </c>
      <c r="S162" s="415">
        <f t="shared" ref="S162" si="282">IFERROR(R162/M162,"")</f>
        <v>0.15203512942347572</v>
      </c>
      <c r="T162" s="417" t="s">
        <v>2005</v>
      </c>
      <c r="U162" s="407">
        <f t="shared" si="159"/>
        <v>2933.35</v>
      </c>
      <c r="V162" s="503" t="e" vm="69">
        <v>#VALUE!</v>
      </c>
    </row>
    <row r="163" spans="1:22" ht="45" customHeight="1" x14ac:dyDescent="0.3">
      <c r="A163" s="496"/>
      <c r="B163" s="266"/>
      <c r="C163" s="454"/>
      <c r="D163" s="454"/>
      <c r="E163" s="433"/>
      <c r="F163" s="435"/>
      <c r="G163" s="149">
        <f t="shared" si="270"/>
        <v>1</v>
      </c>
      <c r="H163" s="53" t="s">
        <v>243</v>
      </c>
      <c r="I163" s="22">
        <f t="shared" si="190"/>
        <v>2730</v>
      </c>
      <c r="J163" s="23">
        <f t="shared" si="191"/>
        <v>18.999999999999993</v>
      </c>
      <c r="K163" s="169">
        <v>3248.7</v>
      </c>
      <c r="L163" s="5">
        <f t="shared" si="198"/>
        <v>3248.7</v>
      </c>
      <c r="M163" s="412"/>
      <c r="N163" s="412"/>
      <c r="O163" s="412"/>
      <c r="P163" s="86">
        <f t="shared" si="189"/>
        <v>3248.7</v>
      </c>
      <c r="Q163" s="414"/>
      <c r="R163" s="412"/>
      <c r="S163" s="416"/>
      <c r="T163" s="418"/>
      <c r="U163" s="408">
        <f t="shared" si="159"/>
        <v>0</v>
      </c>
      <c r="V163" s="504"/>
    </row>
    <row r="164" spans="1:22" ht="45" customHeight="1" x14ac:dyDescent="0.3">
      <c r="A164" s="496">
        <v>80</v>
      </c>
      <c r="B164" s="409">
        <v>23140000</v>
      </c>
      <c r="C164" s="453" t="s">
        <v>249</v>
      </c>
      <c r="D164" s="453" t="s">
        <v>250</v>
      </c>
      <c r="E164" s="432" t="s">
        <v>78</v>
      </c>
      <c r="F164" s="434" t="s">
        <v>78</v>
      </c>
      <c r="G164" s="149">
        <f t="shared" si="270"/>
        <v>1</v>
      </c>
      <c r="H164" s="24" t="s">
        <v>206</v>
      </c>
      <c r="I164" s="22">
        <f t="shared" si="190"/>
        <v>800</v>
      </c>
      <c r="J164" s="23">
        <f t="shared" si="191"/>
        <v>19</v>
      </c>
      <c r="K164" s="169">
        <v>952</v>
      </c>
      <c r="L164" s="5">
        <f t="shared" si="198"/>
        <v>952</v>
      </c>
      <c r="M164" s="411">
        <f t="shared" ref="M164" si="283">IFERROR(AVERAGE(L164:L165),"")</f>
        <v>2773.2950000000001</v>
      </c>
      <c r="N164" s="411">
        <f t="shared" ref="N164" si="284">IFERROR(HARMEAN(L164:L165),"")</f>
        <v>1577.2031752842738</v>
      </c>
      <c r="O164" s="411">
        <f t="shared" ref="O164" si="285">IFERROR(MEDIAN(L164:L165),"")</f>
        <v>2773.2950000000001</v>
      </c>
      <c r="P164" s="86">
        <f t="shared" si="189"/>
        <v>952</v>
      </c>
      <c r="Q164" s="413">
        <f t="shared" ref="Q164" si="286">IFERROR(SUM(P164:P165)/COUNTA(K164:K165),"")</f>
        <v>2773.2950000000001</v>
      </c>
      <c r="R164" s="411">
        <f t="shared" ref="R164" si="287">IFERROR(_xlfn.STDEV.S(L164:L165),"")</f>
        <v>2575.7000900823064</v>
      </c>
      <c r="S164" s="415">
        <f t="shared" ref="S164" si="288">IFERROR(R164/M164,"")</f>
        <v>0.92875085055225148</v>
      </c>
      <c r="T164" s="417" t="s">
        <v>2005</v>
      </c>
      <c r="U164" s="407">
        <f t="shared" si="159"/>
        <v>2773.2950000000001</v>
      </c>
      <c r="V164" s="503" t="e" vm="70">
        <v>#VALUE!</v>
      </c>
    </row>
    <row r="165" spans="1:22" ht="45" customHeight="1" x14ac:dyDescent="0.3">
      <c r="A165" s="496"/>
      <c r="B165" s="266"/>
      <c r="C165" s="454"/>
      <c r="D165" s="454"/>
      <c r="E165" s="433"/>
      <c r="F165" s="435"/>
      <c r="G165" s="149">
        <f t="shared" si="270"/>
        <v>1</v>
      </c>
      <c r="H165" s="53" t="s">
        <v>243</v>
      </c>
      <c r="I165" s="22">
        <f t="shared" si="190"/>
        <v>3861.0000000000005</v>
      </c>
      <c r="J165" s="23">
        <f t="shared" si="191"/>
        <v>18.999999999999989</v>
      </c>
      <c r="K165" s="169">
        <v>4594.59</v>
      </c>
      <c r="L165" s="5">
        <f t="shared" si="198"/>
        <v>4594.59</v>
      </c>
      <c r="M165" s="412"/>
      <c r="N165" s="412"/>
      <c r="O165" s="412"/>
      <c r="P165" s="86">
        <f t="shared" si="189"/>
        <v>4594.59</v>
      </c>
      <c r="Q165" s="414"/>
      <c r="R165" s="412"/>
      <c r="S165" s="416"/>
      <c r="T165" s="418"/>
      <c r="U165" s="408">
        <f t="shared" si="159"/>
        <v>0</v>
      </c>
      <c r="V165" s="504"/>
    </row>
    <row r="166" spans="1:22" ht="45" customHeight="1" x14ac:dyDescent="0.3">
      <c r="A166" s="496">
        <v>81</v>
      </c>
      <c r="B166" s="409">
        <v>23140000</v>
      </c>
      <c r="C166" s="453" t="s">
        <v>251</v>
      </c>
      <c r="D166" s="453" t="s">
        <v>252</v>
      </c>
      <c r="E166" s="432" t="s">
        <v>78</v>
      </c>
      <c r="F166" s="434" t="s">
        <v>79</v>
      </c>
      <c r="G166" s="149">
        <f t="shared" si="270"/>
        <v>1</v>
      </c>
      <c r="H166" s="24" t="s">
        <v>122</v>
      </c>
      <c r="I166" s="22">
        <f t="shared" si="190"/>
        <v>5990.0000000000009</v>
      </c>
      <c r="J166" s="23">
        <f t="shared" si="191"/>
        <v>18.999999999999989</v>
      </c>
      <c r="K166" s="169">
        <v>7128.1</v>
      </c>
      <c r="L166" s="5">
        <f t="shared" si="198"/>
        <v>7128.1</v>
      </c>
      <c r="M166" s="411">
        <f t="shared" ref="M166" si="289">IFERROR(AVERAGE(L166:L167),"")</f>
        <v>5861.3450000000003</v>
      </c>
      <c r="N166" s="411">
        <f t="shared" ref="N166" si="290">IFERROR(HARMEAN(L166:L167),"")</f>
        <v>5587.5736676479555</v>
      </c>
      <c r="O166" s="411">
        <f t="shared" ref="O166" si="291">IFERROR(MEDIAN(L166:L167),"")</f>
        <v>5861.3450000000003</v>
      </c>
      <c r="P166" s="86">
        <f t="shared" si="189"/>
        <v>7128.1</v>
      </c>
      <c r="Q166" s="413">
        <f t="shared" ref="Q166" si="292">IFERROR(SUM(P166:P167)/COUNTA(K166:K167),"")</f>
        <v>5861.3450000000003</v>
      </c>
      <c r="R166" s="411">
        <f t="shared" ref="R166" si="293">IFERROR(_xlfn.STDEV.S(L166:L167),"")</f>
        <v>1791.4621012039306</v>
      </c>
      <c r="S166" s="415">
        <f t="shared" ref="S166" si="294">IFERROR(R166/M166,"")</f>
        <v>0.3056401049936372</v>
      </c>
      <c r="T166" s="417" t="s">
        <v>2005</v>
      </c>
      <c r="U166" s="407">
        <f t="shared" si="159"/>
        <v>5861.3450000000003</v>
      </c>
      <c r="V166" s="503" t="e" vm="71">
        <v>#VALUE!</v>
      </c>
    </row>
    <row r="167" spans="1:22" ht="45" customHeight="1" x14ac:dyDescent="0.3">
      <c r="A167" s="496"/>
      <c r="B167" s="266"/>
      <c r="C167" s="454"/>
      <c r="D167" s="454"/>
      <c r="E167" s="433"/>
      <c r="F167" s="435"/>
      <c r="G167" s="149">
        <f t="shared" si="270"/>
        <v>1</v>
      </c>
      <c r="H167" s="53" t="s">
        <v>243</v>
      </c>
      <c r="I167" s="22">
        <f t="shared" si="190"/>
        <v>3861.0000000000005</v>
      </c>
      <c r="J167" s="23">
        <f t="shared" si="191"/>
        <v>18.999999999999989</v>
      </c>
      <c r="K167" s="169">
        <v>4594.59</v>
      </c>
      <c r="L167" s="5">
        <f t="shared" si="198"/>
        <v>4594.59</v>
      </c>
      <c r="M167" s="412"/>
      <c r="N167" s="412"/>
      <c r="O167" s="412"/>
      <c r="P167" s="86">
        <f t="shared" si="189"/>
        <v>4594.59</v>
      </c>
      <c r="Q167" s="414"/>
      <c r="R167" s="412"/>
      <c r="S167" s="416"/>
      <c r="T167" s="418"/>
      <c r="U167" s="408">
        <f t="shared" si="159"/>
        <v>0</v>
      </c>
      <c r="V167" s="504"/>
    </row>
    <row r="168" spans="1:22" ht="45" customHeight="1" x14ac:dyDescent="0.3">
      <c r="A168" s="496">
        <v>82</v>
      </c>
      <c r="B168" s="409">
        <v>23140000</v>
      </c>
      <c r="C168" s="453" t="s">
        <v>253</v>
      </c>
      <c r="D168" s="453" t="s">
        <v>254</v>
      </c>
      <c r="E168" s="432" t="s">
        <v>78</v>
      </c>
      <c r="F168" s="434" t="s">
        <v>79</v>
      </c>
      <c r="G168" s="149">
        <f t="shared" si="270"/>
        <v>1</v>
      </c>
      <c r="H168" s="24" t="s">
        <v>206</v>
      </c>
      <c r="I168" s="22">
        <f t="shared" si="190"/>
        <v>800</v>
      </c>
      <c r="J168" s="23">
        <f t="shared" si="191"/>
        <v>19</v>
      </c>
      <c r="K168" s="169">
        <v>952</v>
      </c>
      <c r="L168" s="5">
        <f t="shared" si="198"/>
        <v>952</v>
      </c>
      <c r="M168" s="411">
        <f t="shared" ref="M168" si="295">IFERROR(AVERAGE(L168:L169),"")</f>
        <v>2773.2950000000001</v>
      </c>
      <c r="N168" s="411">
        <f t="shared" ref="N168" si="296">IFERROR(HARMEAN(L168:L169),"")</f>
        <v>1577.2031752842738</v>
      </c>
      <c r="O168" s="411">
        <f t="shared" ref="O168" si="297">IFERROR(MEDIAN(L168:L169),"")</f>
        <v>2773.2950000000001</v>
      </c>
      <c r="P168" s="86">
        <f t="shared" si="189"/>
        <v>952</v>
      </c>
      <c r="Q168" s="413">
        <f t="shared" ref="Q168" si="298">IFERROR(SUM(P168:P169)/COUNTA(K168:K169),"")</f>
        <v>2773.2950000000001</v>
      </c>
      <c r="R168" s="411">
        <f t="shared" ref="R168" si="299">IFERROR(_xlfn.STDEV.S(L168:L169),"")</f>
        <v>2575.7000900823064</v>
      </c>
      <c r="S168" s="415">
        <f t="shared" ref="S168" si="300">IFERROR(R168/M168,"")</f>
        <v>0.92875085055225148</v>
      </c>
      <c r="T168" s="417" t="s">
        <v>2005</v>
      </c>
      <c r="U168" s="407">
        <f t="shared" si="159"/>
        <v>2773.2950000000001</v>
      </c>
      <c r="V168" s="503" t="e" vm="72">
        <v>#VALUE!</v>
      </c>
    </row>
    <row r="169" spans="1:22" ht="45" customHeight="1" x14ac:dyDescent="0.3">
      <c r="A169" s="496"/>
      <c r="B169" s="266"/>
      <c r="C169" s="454"/>
      <c r="D169" s="454"/>
      <c r="E169" s="433"/>
      <c r="F169" s="435"/>
      <c r="G169" s="149">
        <f t="shared" si="270"/>
        <v>1</v>
      </c>
      <c r="H169" s="53" t="s">
        <v>243</v>
      </c>
      <c r="I169" s="22">
        <f t="shared" si="190"/>
        <v>3861.0000000000005</v>
      </c>
      <c r="J169" s="23">
        <f t="shared" si="191"/>
        <v>18.999999999999989</v>
      </c>
      <c r="K169" s="169">
        <v>4594.59</v>
      </c>
      <c r="L169" s="5">
        <f t="shared" si="198"/>
        <v>4594.59</v>
      </c>
      <c r="M169" s="412"/>
      <c r="N169" s="412"/>
      <c r="O169" s="412"/>
      <c r="P169" s="86">
        <f t="shared" si="189"/>
        <v>4594.59</v>
      </c>
      <c r="Q169" s="414"/>
      <c r="R169" s="412"/>
      <c r="S169" s="416"/>
      <c r="T169" s="418"/>
      <c r="U169" s="408">
        <f t="shared" si="159"/>
        <v>0</v>
      </c>
      <c r="V169" s="504"/>
    </row>
    <row r="170" spans="1:22" ht="45" customHeight="1" x14ac:dyDescent="0.3">
      <c r="A170" s="496">
        <v>83</v>
      </c>
      <c r="B170" s="409">
        <v>23140000</v>
      </c>
      <c r="C170" s="453" t="s">
        <v>255</v>
      </c>
      <c r="D170" s="453" t="s">
        <v>256</v>
      </c>
      <c r="E170" s="432" t="s">
        <v>78</v>
      </c>
      <c r="F170" s="434" t="s">
        <v>79</v>
      </c>
      <c r="G170" s="149">
        <f t="shared" si="270"/>
        <v>1</v>
      </c>
      <c r="H170" s="24" t="s">
        <v>206</v>
      </c>
      <c r="I170" s="22">
        <f t="shared" si="190"/>
        <v>1950</v>
      </c>
      <c r="J170" s="23">
        <f t="shared" si="191"/>
        <v>19</v>
      </c>
      <c r="K170" s="169">
        <v>2320.5</v>
      </c>
      <c r="L170" s="5">
        <f t="shared" si="198"/>
        <v>2320.5</v>
      </c>
      <c r="M170" s="411">
        <f t="shared" ref="M170" si="301">IFERROR(AVERAGE(L170:L171),"")</f>
        <v>4297.6849999999995</v>
      </c>
      <c r="N170" s="411">
        <f t="shared" ref="N170" si="302">IFERROR(HARMEAN(L170:L171),"")</f>
        <v>3388.064931468919</v>
      </c>
      <c r="O170" s="411">
        <f t="shared" ref="O170" si="303">IFERROR(MEDIAN(L170:L171),"")</f>
        <v>4297.6849999999995</v>
      </c>
      <c r="P170" s="86">
        <f t="shared" si="189"/>
        <v>2320.5</v>
      </c>
      <c r="Q170" s="413">
        <f t="shared" ref="Q170" si="304">IFERROR(SUM(P170:P171)/COUNTA(K170:K171),"")</f>
        <v>4297.6849999999995</v>
      </c>
      <c r="R170" s="411">
        <f t="shared" ref="R170" si="305">IFERROR(_xlfn.STDEV.S(L170:L171),"")</f>
        <v>2796.1618423206482</v>
      </c>
      <c r="S170" s="415">
        <f t="shared" ref="S170" si="306">IFERROR(R170/M170,"")</f>
        <v>0.65062047179368632</v>
      </c>
      <c r="T170" s="417" t="s">
        <v>2005</v>
      </c>
      <c r="U170" s="407">
        <f t="shared" si="159"/>
        <v>4297.6849999999995</v>
      </c>
      <c r="V170" s="503" t="e" vm="70">
        <v>#VALUE!</v>
      </c>
    </row>
    <row r="171" spans="1:22" ht="45" customHeight="1" x14ac:dyDescent="0.3">
      <c r="A171" s="496"/>
      <c r="B171" s="266"/>
      <c r="C171" s="454"/>
      <c r="D171" s="454"/>
      <c r="E171" s="433"/>
      <c r="F171" s="435"/>
      <c r="G171" s="149">
        <f t="shared" si="270"/>
        <v>1</v>
      </c>
      <c r="H171" s="53" t="s">
        <v>243</v>
      </c>
      <c r="I171" s="22">
        <f t="shared" si="190"/>
        <v>5273</v>
      </c>
      <c r="J171" s="23">
        <f t="shared" si="191"/>
        <v>18.999999999999996</v>
      </c>
      <c r="K171" s="169">
        <v>6274.87</v>
      </c>
      <c r="L171" s="5">
        <f t="shared" si="198"/>
        <v>6274.87</v>
      </c>
      <c r="M171" s="412"/>
      <c r="N171" s="412"/>
      <c r="O171" s="412"/>
      <c r="P171" s="86">
        <f t="shared" si="189"/>
        <v>6274.87</v>
      </c>
      <c r="Q171" s="414"/>
      <c r="R171" s="412"/>
      <c r="S171" s="416"/>
      <c r="T171" s="418"/>
      <c r="U171" s="408">
        <f t="shared" si="159"/>
        <v>0</v>
      </c>
      <c r="V171" s="504"/>
    </row>
    <row r="172" spans="1:22" ht="45" customHeight="1" x14ac:dyDescent="0.3">
      <c r="A172" s="496">
        <v>84</v>
      </c>
      <c r="B172" s="409">
        <v>23140000</v>
      </c>
      <c r="C172" s="453" t="s">
        <v>257</v>
      </c>
      <c r="D172" s="453" t="s">
        <v>258</v>
      </c>
      <c r="E172" s="432" t="s">
        <v>78</v>
      </c>
      <c r="F172" s="434" t="s">
        <v>79</v>
      </c>
      <c r="G172" s="149">
        <f t="shared" si="270"/>
        <v>1</v>
      </c>
      <c r="H172" s="24" t="s">
        <v>243</v>
      </c>
      <c r="I172" s="22">
        <f t="shared" si="190"/>
        <v>5273</v>
      </c>
      <c r="J172" s="23">
        <f t="shared" si="191"/>
        <v>18.999999999999996</v>
      </c>
      <c r="K172" s="169">
        <v>6274.87</v>
      </c>
      <c r="L172" s="5">
        <f t="shared" si="198"/>
        <v>6274.87</v>
      </c>
      <c r="M172" s="411">
        <f>IFERROR(AVERAGE(L172:L173),"")</f>
        <v>5653.0949999999993</v>
      </c>
      <c r="N172" s="411">
        <f>IFERROR(HARMEAN(L172:L173),"")</f>
        <v>5584.7069487422368</v>
      </c>
      <c r="O172" s="411">
        <f>IFERROR(MEDIAN(L172:L173),"")</f>
        <v>5653.0949999999993</v>
      </c>
      <c r="P172" s="86">
        <f t="shared" si="189"/>
        <v>6274.87</v>
      </c>
      <c r="Q172" s="413">
        <f>IFERROR(SUM(P172:P173)/COUNTA(K172:K173),"")</f>
        <v>5653.0949999999993</v>
      </c>
      <c r="R172" s="411">
        <f>IFERROR(_xlfn.STDEV.S(L172:L173),"")</f>
        <v>879.32263774453725</v>
      </c>
      <c r="S172" s="415">
        <f t="shared" ref="S172" si="307">IFERROR(R172/M172,"")</f>
        <v>0.1555471184801489</v>
      </c>
      <c r="T172" s="417" t="s">
        <v>2005</v>
      </c>
      <c r="U172" s="407">
        <f t="shared" si="159"/>
        <v>5653.0949999999993</v>
      </c>
      <c r="V172" s="503" t="e" vm="71">
        <v>#VALUE!</v>
      </c>
    </row>
    <row r="173" spans="1:22" ht="45" customHeight="1" x14ac:dyDescent="0.3">
      <c r="A173" s="496"/>
      <c r="B173" s="266"/>
      <c r="C173" s="454"/>
      <c r="D173" s="454"/>
      <c r="E173" s="433"/>
      <c r="F173" s="435"/>
      <c r="G173" s="149">
        <f t="shared" si="270"/>
        <v>1</v>
      </c>
      <c r="H173" s="24" t="s">
        <v>122</v>
      </c>
      <c r="I173" s="22">
        <f t="shared" si="190"/>
        <v>4228</v>
      </c>
      <c r="J173" s="23">
        <f t="shared" si="191"/>
        <v>18.999999999999993</v>
      </c>
      <c r="K173" s="169">
        <v>5031.32</v>
      </c>
      <c r="L173" s="5">
        <f t="shared" si="198"/>
        <v>5031.32</v>
      </c>
      <c r="M173" s="412"/>
      <c r="N173" s="412"/>
      <c r="O173" s="412"/>
      <c r="P173" s="86">
        <f t="shared" si="189"/>
        <v>5031.32</v>
      </c>
      <c r="Q173" s="414"/>
      <c r="R173" s="412"/>
      <c r="S173" s="416"/>
      <c r="T173" s="418"/>
      <c r="U173" s="408"/>
      <c r="V173" s="504"/>
    </row>
    <row r="174" spans="1:22" ht="45" customHeight="1" x14ac:dyDescent="0.3">
      <c r="A174" s="496">
        <v>85</v>
      </c>
      <c r="B174" s="409">
        <v>23140000</v>
      </c>
      <c r="C174" s="453" t="s">
        <v>259</v>
      </c>
      <c r="D174" s="453" t="s">
        <v>260</v>
      </c>
      <c r="E174" s="432" t="s">
        <v>78</v>
      </c>
      <c r="F174" s="434" t="s">
        <v>79</v>
      </c>
      <c r="G174" s="149">
        <f t="shared" si="270"/>
        <v>1</v>
      </c>
      <c r="H174" s="24" t="s">
        <v>206</v>
      </c>
      <c r="I174" s="22">
        <f t="shared" si="190"/>
        <v>2800</v>
      </c>
      <c r="J174" s="23">
        <f t="shared" si="191"/>
        <v>19</v>
      </c>
      <c r="K174" s="169">
        <v>3332</v>
      </c>
      <c r="L174" s="5">
        <f t="shared" si="198"/>
        <v>3332</v>
      </c>
      <c r="M174" s="411">
        <f t="shared" ref="M174" si="308">IFERROR(AVERAGE(L174:L175),"")</f>
        <v>4803.4349999999995</v>
      </c>
      <c r="N174" s="411">
        <f t="shared" ref="N174" si="309">IFERROR(HARMEAN(L174:L175),"")</f>
        <v>4352.6906973863497</v>
      </c>
      <c r="O174" s="411">
        <f t="shared" ref="O174" si="310">IFERROR(MEDIAN(L174:L175),"")</f>
        <v>4803.4349999999995</v>
      </c>
      <c r="P174" s="86">
        <f t="shared" si="189"/>
        <v>3332</v>
      </c>
      <c r="Q174" s="413">
        <f t="shared" ref="Q174" si="311">IFERROR(SUM(P174:P175)/COUNTA(K174:K175),"")</f>
        <v>4803.4349999999995</v>
      </c>
      <c r="R174" s="411">
        <f t="shared" ref="R174" si="312">IFERROR(_xlfn.STDEV.S(L174:L175),"")</f>
        <v>2080.9233331504565</v>
      </c>
      <c r="S174" s="415">
        <f t="shared" ref="S174" si="313">IFERROR(R174/M174,"")</f>
        <v>0.43321567443932452</v>
      </c>
      <c r="T174" s="417" t="s">
        <v>2005</v>
      </c>
      <c r="U174" s="407">
        <f t="shared" si="159"/>
        <v>4803.4349999999995</v>
      </c>
      <c r="V174" s="503" t="e" vm="72">
        <v>#VALUE!</v>
      </c>
    </row>
    <row r="175" spans="1:22" ht="45" customHeight="1" x14ac:dyDescent="0.3">
      <c r="A175" s="496"/>
      <c r="B175" s="266"/>
      <c r="C175" s="454"/>
      <c r="D175" s="454"/>
      <c r="E175" s="433"/>
      <c r="F175" s="435"/>
      <c r="G175" s="149">
        <f>G174</f>
        <v>1</v>
      </c>
      <c r="H175" s="53" t="s">
        <v>243</v>
      </c>
      <c r="I175" s="22">
        <f t="shared" si="190"/>
        <v>5273</v>
      </c>
      <c r="J175" s="23">
        <f t="shared" si="191"/>
        <v>18.999999999999996</v>
      </c>
      <c r="K175" s="169">
        <v>6274.87</v>
      </c>
      <c r="L175" s="5">
        <f t="shared" si="198"/>
        <v>6274.87</v>
      </c>
      <c r="M175" s="412"/>
      <c r="N175" s="412"/>
      <c r="O175" s="412"/>
      <c r="P175" s="86">
        <f t="shared" si="189"/>
        <v>6274.87</v>
      </c>
      <c r="Q175" s="414"/>
      <c r="R175" s="412"/>
      <c r="S175" s="416"/>
      <c r="T175" s="418"/>
      <c r="U175" s="408">
        <f t="shared" si="159"/>
        <v>0</v>
      </c>
      <c r="V175" s="504"/>
    </row>
    <row r="176" spans="1:22" ht="45" customHeight="1" x14ac:dyDescent="0.3">
      <c r="A176" s="496">
        <v>86</v>
      </c>
      <c r="B176" s="409">
        <v>23140000</v>
      </c>
      <c r="C176" s="453" t="s">
        <v>261</v>
      </c>
      <c r="D176" s="453" t="s">
        <v>262</v>
      </c>
      <c r="E176" s="432" t="s">
        <v>78</v>
      </c>
      <c r="F176" s="434" t="s">
        <v>79</v>
      </c>
      <c r="G176" s="149">
        <f t="shared" ref="G176:G208" si="314">G175</f>
        <v>1</v>
      </c>
      <c r="H176" s="24" t="s">
        <v>206</v>
      </c>
      <c r="I176" s="22">
        <f t="shared" si="190"/>
        <v>1950</v>
      </c>
      <c r="J176" s="23">
        <f t="shared" si="191"/>
        <v>19</v>
      </c>
      <c r="K176" s="169">
        <v>2320.5</v>
      </c>
      <c r="L176" s="5">
        <f t="shared" si="198"/>
        <v>2320.5</v>
      </c>
      <c r="M176" s="411">
        <f t="shared" ref="M176" si="315">IFERROR(AVERAGE(L176:L177),"")</f>
        <v>2948.8199999999997</v>
      </c>
      <c r="N176" s="411">
        <f t="shared" ref="N176" si="316">IFERROR(HARMEAN(L176:L177),"")</f>
        <v>2814.9406779661017</v>
      </c>
      <c r="O176" s="411">
        <f t="shared" ref="O176" si="317">IFERROR(MEDIAN(L176:L177),"")</f>
        <v>2948.8199999999997</v>
      </c>
      <c r="P176" s="86">
        <f t="shared" si="189"/>
        <v>2320.5</v>
      </c>
      <c r="Q176" s="413">
        <f t="shared" ref="Q176" si="318">IFERROR(SUM(P176:P177)/COUNTA(K176:K177),"")</f>
        <v>2948.8199999999997</v>
      </c>
      <c r="R176" s="411">
        <f t="shared" ref="R176" si="319">IFERROR(_xlfn.STDEV.S(L176:L177),"")</f>
        <v>888.57866551026427</v>
      </c>
      <c r="S176" s="415">
        <f t="shared" ref="S176" si="320">IFERROR(R176/M176,"")</f>
        <v>0.30133364040879551</v>
      </c>
      <c r="T176" s="417" t="s">
        <v>2005</v>
      </c>
      <c r="U176" s="407">
        <f t="shared" si="159"/>
        <v>2948.8199999999997</v>
      </c>
      <c r="V176" s="503" t="e" vm="73">
        <v>#VALUE!</v>
      </c>
    </row>
    <row r="177" spans="1:22" ht="45" customHeight="1" x14ac:dyDescent="0.3">
      <c r="A177" s="496"/>
      <c r="B177" s="266"/>
      <c r="C177" s="454"/>
      <c r="D177" s="454"/>
      <c r="E177" s="433"/>
      <c r="F177" s="435"/>
      <c r="G177" s="149">
        <f t="shared" si="314"/>
        <v>1</v>
      </c>
      <c r="H177" s="53" t="s">
        <v>243</v>
      </c>
      <c r="I177" s="22">
        <f t="shared" si="190"/>
        <v>3006</v>
      </c>
      <c r="J177" s="23">
        <f t="shared" si="191"/>
        <v>18.999999999999993</v>
      </c>
      <c r="K177" s="169">
        <v>3577.14</v>
      </c>
      <c r="L177" s="5">
        <f t="shared" si="198"/>
        <v>3577.14</v>
      </c>
      <c r="M177" s="412"/>
      <c r="N177" s="412"/>
      <c r="O177" s="412"/>
      <c r="P177" s="86">
        <f t="shared" si="189"/>
        <v>3577.14</v>
      </c>
      <c r="Q177" s="414"/>
      <c r="R177" s="412"/>
      <c r="S177" s="416"/>
      <c r="T177" s="418"/>
      <c r="U177" s="408">
        <f t="shared" si="159"/>
        <v>0</v>
      </c>
      <c r="V177" s="504"/>
    </row>
    <row r="178" spans="1:22" ht="45" customHeight="1" x14ac:dyDescent="0.3">
      <c r="A178" s="496">
        <v>87</v>
      </c>
      <c r="B178" s="409">
        <v>23140000</v>
      </c>
      <c r="C178" s="453" t="s">
        <v>263</v>
      </c>
      <c r="D178" s="453" t="s">
        <v>264</v>
      </c>
      <c r="E178" s="432" t="s">
        <v>78</v>
      </c>
      <c r="F178" s="434" t="s">
        <v>79</v>
      </c>
      <c r="G178" s="149">
        <f t="shared" si="314"/>
        <v>1</v>
      </c>
      <c r="H178" s="24" t="s">
        <v>206</v>
      </c>
      <c r="I178" s="22">
        <f t="shared" si="190"/>
        <v>2800</v>
      </c>
      <c r="J178" s="23">
        <f t="shared" si="191"/>
        <v>19</v>
      </c>
      <c r="K178" s="169">
        <v>3332</v>
      </c>
      <c r="L178" s="5">
        <f t="shared" si="198"/>
        <v>3332</v>
      </c>
      <c r="M178" s="411">
        <f t="shared" ref="M178" si="321">IFERROR(AVERAGE(L178:L179),"")</f>
        <v>3454.5699999999997</v>
      </c>
      <c r="N178" s="411">
        <f t="shared" ref="N178" si="322">IFERROR(HARMEAN(L178:L179),"")</f>
        <v>3450.2211505339301</v>
      </c>
      <c r="O178" s="411">
        <f t="shared" ref="O178" si="323">IFERROR(MEDIAN(L178:L179),"")</f>
        <v>3454.5699999999997</v>
      </c>
      <c r="P178" s="86">
        <f t="shared" si="189"/>
        <v>3332</v>
      </c>
      <c r="Q178" s="413">
        <f t="shared" ref="Q178" si="324">IFERROR(SUM(P178:P179)/COUNTA(K178:K179),"")</f>
        <v>3454.5699999999997</v>
      </c>
      <c r="R178" s="411">
        <f t="shared" ref="R178" si="325">IFERROR(_xlfn.STDEV.S(L178:L179),"")</f>
        <v>173.34015634007017</v>
      </c>
      <c r="S178" s="415">
        <f t="shared" ref="S178" si="326">IFERROR(R178/M178,"")</f>
        <v>5.0177057156193153E-2</v>
      </c>
      <c r="T178" s="417" t="s">
        <v>2005</v>
      </c>
      <c r="U178" s="407">
        <f t="shared" si="159"/>
        <v>3454.5699999999997</v>
      </c>
      <c r="V178" s="503" t="e" vm="74">
        <v>#VALUE!</v>
      </c>
    </row>
    <row r="179" spans="1:22" ht="45" customHeight="1" x14ac:dyDescent="0.3">
      <c r="A179" s="496"/>
      <c r="B179" s="266"/>
      <c r="C179" s="454"/>
      <c r="D179" s="454"/>
      <c r="E179" s="433"/>
      <c r="F179" s="435"/>
      <c r="G179" s="149">
        <f t="shared" si="314"/>
        <v>1</v>
      </c>
      <c r="H179" s="53" t="s">
        <v>243</v>
      </c>
      <c r="I179" s="22">
        <f t="shared" si="190"/>
        <v>3006</v>
      </c>
      <c r="J179" s="23">
        <f t="shared" si="191"/>
        <v>18.999999999999993</v>
      </c>
      <c r="K179" s="169">
        <v>3577.14</v>
      </c>
      <c r="L179" s="5">
        <f t="shared" si="198"/>
        <v>3577.14</v>
      </c>
      <c r="M179" s="412"/>
      <c r="N179" s="412"/>
      <c r="O179" s="412"/>
      <c r="P179" s="86">
        <f t="shared" si="189"/>
        <v>3577.14</v>
      </c>
      <c r="Q179" s="414"/>
      <c r="R179" s="412"/>
      <c r="S179" s="416"/>
      <c r="T179" s="418"/>
      <c r="U179" s="408">
        <f t="shared" si="159"/>
        <v>0</v>
      </c>
      <c r="V179" s="504"/>
    </row>
    <row r="180" spans="1:22" ht="45" customHeight="1" x14ac:dyDescent="0.3">
      <c r="A180" s="496">
        <v>88</v>
      </c>
      <c r="B180" s="409">
        <v>23140000</v>
      </c>
      <c r="C180" s="453" t="s">
        <v>265</v>
      </c>
      <c r="D180" s="453" t="s">
        <v>266</v>
      </c>
      <c r="E180" s="432" t="s">
        <v>78</v>
      </c>
      <c r="F180" s="434" t="s">
        <v>79</v>
      </c>
      <c r="G180" s="149">
        <f t="shared" si="314"/>
        <v>1</v>
      </c>
      <c r="H180" s="24" t="s">
        <v>243</v>
      </c>
      <c r="I180" s="22">
        <f t="shared" si="190"/>
        <v>3006</v>
      </c>
      <c r="J180" s="23">
        <f t="shared" si="191"/>
        <v>18.999999999999993</v>
      </c>
      <c r="K180" s="169">
        <v>3577.14</v>
      </c>
      <c r="L180" s="5">
        <f t="shared" si="198"/>
        <v>3577.14</v>
      </c>
      <c r="M180" s="411">
        <f t="shared" ref="M180" si="327">IFERROR(AVERAGE(L180:L181),"")</f>
        <v>6111.2449999999999</v>
      </c>
      <c r="N180" s="411">
        <f t="shared" ref="N180" si="328">IFERROR(HARMEAN(L180:L181),"")</f>
        <v>5060.4463246032519</v>
      </c>
      <c r="O180" s="411">
        <f t="shared" ref="O180" si="329">IFERROR(MEDIAN(L180:L181),"")</f>
        <v>6111.2450000000008</v>
      </c>
      <c r="P180" s="86">
        <f t="shared" si="189"/>
        <v>3577.14</v>
      </c>
      <c r="Q180" s="413">
        <f t="shared" ref="Q180" si="330">IFERROR(SUM(P180:P181)/COUNTA(K180:K181),"")</f>
        <v>6111.2449999999999</v>
      </c>
      <c r="R180" s="411">
        <f t="shared" ref="R180" si="331">IFERROR(_xlfn.STDEV.S(L180:L181),"")</f>
        <v>3583.7656594774735</v>
      </c>
      <c r="S180" s="415">
        <f t="shared" ref="S180" si="332">IFERROR(R180/M180,"")</f>
        <v>0.58642153267909791</v>
      </c>
      <c r="T180" s="417" t="s">
        <v>2005</v>
      </c>
      <c r="U180" s="407">
        <f t="shared" si="159"/>
        <v>6111.2449999999999</v>
      </c>
      <c r="V180" s="503" t="e" vm="75">
        <v>#VALUE!</v>
      </c>
    </row>
    <row r="181" spans="1:22" ht="45" customHeight="1" x14ac:dyDescent="0.3">
      <c r="A181" s="496"/>
      <c r="B181" s="266"/>
      <c r="C181" s="454"/>
      <c r="D181" s="454"/>
      <c r="E181" s="433"/>
      <c r="F181" s="435"/>
      <c r="G181" s="149">
        <f t="shared" si="314"/>
        <v>1</v>
      </c>
      <c r="H181" s="53" t="s">
        <v>122</v>
      </c>
      <c r="I181" s="22">
        <f t="shared" si="190"/>
        <v>7265.0000000000009</v>
      </c>
      <c r="J181" s="23">
        <f t="shared" si="191"/>
        <v>18.999999999999989</v>
      </c>
      <c r="K181" s="169">
        <v>8645.35</v>
      </c>
      <c r="L181" s="5">
        <f t="shared" si="198"/>
        <v>8645.35</v>
      </c>
      <c r="M181" s="412"/>
      <c r="N181" s="412"/>
      <c r="O181" s="412"/>
      <c r="P181" s="86">
        <f t="shared" si="189"/>
        <v>8645.35</v>
      </c>
      <c r="Q181" s="414"/>
      <c r="R181" s="412"/>
      <c r="S181" s="416"/>
      <c r="T181" s="418"/>
      <c r="U181" s="408">
        <f t="shared" si="159"/>
        <v>0</v>
      </c>
      <c r="V181" s="504"/>
    </row>
    <row r="182" spans="1:22" ht="45" customHeight="1" x14ac:dyDescent="0.3">
      <c r="A182" s="496">
        <v>89</v>
      </c>
      <c r="B182" s="409">
        <v>23140000</v>
      </c>
      <c r="C182" s="453" t="s">
        <v>267</v>
      </c>
      <c r="D182" s="453" t="s">
        <v>268</v>
      </c>
      <c r="E182" s="432" t="s">
        <v>78</v>
      </c>
      <c r="F182" s="434" t="s">
        <v>79</v>
      </c>
      <c r="G182" s="149">
        <f t="shared" si="314"/>
        <v>1</v>
      </c>
      <c r="H182" s="24" t="s">
        <v>206</v>
      </c>
      <c r="I182" s="22">
        <f t="shared" si="190"/>
        <v>1950</v>
      </c>
      <c r="J182" s="23">
        <f t="shared" si="191"/>
        <v>19</v>
      </c>
      <c r="K182" s="169">
        <v>2320.5</v>
      </c>
      <c r="L182" s="5">
        <f t="shared" si="198"/>
        <v>2320.5</v>
      </c>
      <c r="M182" s="411">
        <f t="shared" ref="M182" si="333">IFERROR(AVERAGE(L182:L183),"")</f>
        <v>2272.3050000000003</v>
      </c>
      <c r="N182" s="411">
        <f t="shared" ref="N182" si="334">IFERROR(HARMEAN(L182:L183),"")</f>
        <v>2271.2827965435981</v>
      </c>
      <c r="O182" s="411">
        <f t="shared" ref="O182" si="335">IFERROR(MEDIAN(L182:L183),"")</f>
        <v>2272.3050000000003</v>
      </c>
      <c r="P182" s="86">
        <f t="shared" si="189"/>
        <v>2320.5</v>
      </c>
      <c r="Q182" s="413">
        <f t="shared" ref="Q182" si="336">IFERROR(SUM(P182:P183)/COUNTA(K182:K183),"")</f>
        <v>2272.3050000000003</v>
      </c>
      <c r="R182" s="411">
        <f t="shared" ref="R182" si="337">IFERROR(_xlfn.STDEV.S(L182:L183),"")</f>
        <v>68.158022638571225</v>
      </c>
      <c r="S182" s="415">
        <f t="shared" ref="S182" si="338">IFERROR(R182/M182,"")</f>
        <v>2.9995103051118233E-2</v>
      </c>
      <c r="T182" s="417" t="s">
        <v>2005</v>
      </c>
      <c r="U182" s="407">
        <f t="shared" si="159"/>
        <v>2272.3050000000003</v>
      </c>
      <c r="V182" s="503" t="e" vm="76">
        <v>#VALUE!</v>
      </c>
    </row>
    <row r="183" spans="1:22" ht="45" customHeight="1" x14ac:dyDescent="0.3">
      <c r="A183" s="496"/>
      <c r="B183" s="266"/>
      <c r="C183" s="454"/>
      <c r="D183" s="454"/>
      <c r="E183" s="433"/>
      <c r="F183" s="435"/>
      <c r="G183" s="149">
        <f t="shared" si="314"/>
        <v>1</v>
      </c>
      <c r="H183" s="53" t="s">
        <v>122</v>
      </c>
      <c r="I183" s="22">
        <f t="shared" si="190"/>
        <v>1869.0000000000002</v>
      </c>
      <c r="J183" s="23">
        <f t="shared" si="191"/>
        <v>18.999999999999993</v>
      </c>
      <c r="K183" s="169">
        <v>2224.11</v>
      </c>
      <c r="L183" s="5">
        <f t="shared" si="198"/>
        <v>2224.11</v>
      </c>
      <c r="M183" s="412"/>
      <c r="N183" s="412"/>
      <c r="O183" s="412"/>
      <c r="P183" s="86">
        <f t="shared" si="189"/>
        <v>2224.11</v>
      </c>
      <c r="Q183" s="414"/>
      <c r="R183" s="412"/>
      <c r="S183" s="416"/>
      <c r="T183" s="418"/>
      <c r="U183" s="408">
        <f t="shared" si="159"/>
        <v>0</v>
      </c>
      <c r="V183" s="504"/>
    </row>
    <row r="184" spans="1:22" ht="45" customHeight="1" x14ac:dyDescent="0.3">
      <c r="A184" s="496">
        <v>90</v>
      </c>
      <c r="B184" s="409">
        <v>23140000</v>
      </c>
      <c r="C184" s="453" t="s">
        <v>269</v>
      </c>
      <c r="D184" s="453" t="s">
        <v>270</v>
      </c>
      <c r="E184" s="432" t="s">
        <v>78</v>
      </c>
      <c r="F184" s="434" t="s">
        <v>79</v>
      </c>
      <c r="G184" s="149">
        <f t="shared" si="314"/>
        <v>1</v>
      </c>
      <c r="H184" s="24" t="s">
        <v>206</v>
      </c>
      <c r="I184" s="22">
        <f t="shared" si="190"/>
        <v>3300</v>
      </c>
      <c r="J184" s="23">
        <f t="shared" si="191"/>
        <v>19</v>
      </c>
      <c r="K184" s="169">
        <v>3927</v>
      </c>
      <c r="L184" s="5">
        <f t="shared" si="198"/>
        <v>3927</v>
      </c>
      <c r="M184" s="411">
        <f t="shared" ref="M184" si="339">IFERROR(AVERAGE(L184:L185),"")</f>
        <v>3075.5550000000003</v>
      </c>
      <c r="N184" s="411">
        <f t="shared" ref="N184" si="340">IFERROR(HARMEAN(L184:L185),"")</f>
        <v>2839.8386535113182</v>
      </c>
      <c r="O184" s="411">
        <f t="shared" ref="O184" si="341">IFERROR(MEDIAN(L184:L185),"")</f>
        <v>3075.5550000000003</v>
      </c>
      <c r="P184" s="86">
        <f t="shared" si="189"/>
        <v>3927</v>
      </c>
      <c r="Q184" s="413">
        <f t="shared" ref="Q184" si="342">IFERROR(SUM(P184:P185)/COUNTA(K184:K185),"")</f>
        <v>3075.5550000000003</v>
      </c>
      <c r="R184" s="411">
        <f t="shared" ref="R184" si="343">IFERROR(_xlfn.STDEV.S(L184:L185),"")</f>
        <v>1204.1250666147582</v>
      </c>
      <c r="S184" s="415">
        <f t="shared" ref="S184" si="344">IFERROR(R184/M184,"")</f>
        <v>0.39151472388390329</v>
      </c>
      <c r="T184" s="417" t="s">
        <v>2005</v>
      </c>
      <c r="U184" s="407">
        <f t="shared" si="159"/>
        <v>3075.5550000000003</v>
      </c>
      <c r="V184" s="503" t="e" vm="77">
        <v>#VALUE!</v>
      </c>
    </row>
    <row r="185" spans="1:22" ht="45" customHeight="1" x14ac:dyDescent="0.3">
      <c r="A185" s="496"/>
      <c r="B185" s="266"/>
      <c r="C185" s="454"/>
      <c r="D185" s="454"/>
      <c r="E185" s="433"/>
      <c r="F185" s="435"/>
      <c r="G185" s="149">
        <f t="shared" si="314"/>
        <v>1</v>
      </c>
      <c r="H185" s="53" t="s">
        <v>122</v>
      </c>
      <c r="I185" s="22">
        <f t="shared" si="190"/>
        <v>1869.0000000000002</v>
      </c>
      <c r="J185" s="23">
        <f t="shared" si="191"/>
        <v>18.999999999999993</v>
      </c>
      <c r="K185" s="169">
        <v>2224.11</v>
      </c>
      <c r="L185" s="5">
        <f t="shared" si="198"/>
        <v>2224.11</v>
      </c>
      <c r="M185" s="412"/>
      <c r="N185" s="412"/>
      <c r="O185" s="412"/>
      <c r="P185" s="86">
        <f t="shared" si="189"/>
        <v>2224.11</v>
      </c>
      <c r="Q185" s="414"/>
      <c r="R185" s="412"/>
      <c r="S185" s="416"/>
      <c r="T185" s="418"/>
      <c r="U185" s="408">
        <f t="shared" si="159"/>
        <v>0</v>
      </c>
      <c r="V185" s="504"/>
    </row>
    <row r="186" spans="1:22" ht="45" customHeight="1" x14ac:dyDescent="0.3">
      <c r="A186" s="496">
        <v>91</v>
      </c>
      <c r="B186" s="409">
        <v>23140000</v>
      </c>
      <c r="C186" s="453" t="s">
        <v>271</v>
      </c>
      <c r="D186" s="453" t="s">
        <v>272</v>
      </c>
      <c r="E186" s="432" t="s">
        <v>78</v>
      </c>
      <c r="F186" s="434" t="s">
        <v>79</v>
      </c>
      <c r="G186" s="149">
        <f t="shared" si="314"/>
        <v>1</v>
      </c>
      <c r="H186" s="24" t="s">
        <v>206</v>
      </c>
      <c r="I186" s="22">
        <f t="shared" si="190"/>
        <v>4700</v>
      </c>
      <c r="J186" s="23">
        <f t="shared" si="191"/>
        <v>19</v>
      </c>
      <c r="K186" s="169">
        <v>5593</v>
      </c>
      <c r="L186" s="5">
        <f t="shared" si="198"/>
        <v>5593</v>
      </c>
      <c r="M186" s="411">
        <f t="shared" ref="M186" si="345">IFERROR(AVERAGE(L186:L187),"")</f>
        <v>3908.5550000000003</v>
      </c>
      <c r="N186" s="411">
        <f t="shared" ref="N186" si="346">IFERROR(HARMEAN(L186:L187),"")</f>
        <v>3182.6204901811543</v>
      </c>
      <c r="O186" s="411">
        <f t="shared" ref="O186" si="347">IFERROR(MEDIAN(L186:L187),"")</f>
        <v>3908.5550000000003</v>
      </c>
      <c r="P186" s="86">
        <f t="shared" si="189"/>
        <v>5593</v>
      </c>
      <c r="Q186" s="413">
        <f t="shared" ref="Q186" si="348">IFERROR(SUM(P186:P187)/COUNTA(K186:K187),"")</f>
        <v>3908.5550000000003</v>
      </c>
      <c r="R186" s="411">
        <f t="shared" ref="R186" si="349">IFERROR(_xlfn.STDEV.S(L186:L187),"")</f>
        <v>2382.1649640715468</v>
      </c>
      <c r="S186" s="415">
        <f t="shared" ref="S186" si="350">IFERROR(R186/M186,"")</f>
        <v>0.60947459203504795</v>
      </c>
      <c r="T186" s="417" t="s">
        <v>2005</v>
      </c>
      <c r="U186" s="407">
        <f t="shared" si="159"/>
        <v>3908.5550000000003</v>
      </c>
      <c r="V186" s="503" t="e" vm="78">
        <v>#VALUE!</v>
      </c>
    </row>
    <row r="187" spans="1:22" ht="45" customHeight="1" x14ac:dyDescent="0.3">
      <c r="A187" s="496"/>
      <c r="B187" s="266"/>
      <c r="C187" s="454"/>
      <c r="D187" s="454"/>
      <c r="E187" s="433"/>
      <c r="F187" s="435"/>
      <c r="G187" s="149">
        <f t="shared" si="314"/>
        <v>1</v>
      </c>
      <c r="H187" s="53" t="s">
        <v>122</v>
      </c>
      <c r="I187" s="22">
        <f t="shared" si="190"/>
        <v>1869.0000000000002</v>
      </c>
      <c r="J187" s="23">
        <f t="shared" si="191"/>
        <v>18.999999999999993</v>
      </c>
      <c r="K187" s="169">
        <v>2224.11</v>
      </c>
      <c r="L187" s="5">
        <f t="shared" si="198"/>
        <v>2224.11</v>
      </c>
      <c r="M187" s="412"/>
      <c r="N187" s="412"/>
      <c r="O187" s="412"/>
      <c r="P187" s="86">
        <f t="shared" si="189"/>
        <v>2224.11</v>
      </c>
      <c r="Q187" s="414"/>
      <c r="R187" s="412"/>
      <c r="S187" s="416"/>
      <c r="T187" s="418"/>
      <c r="U187" s="408">
        <f t="shared" si="159"/>
        <v>0</v>
      </c>
      <c r="V187" s="504"/>
    </row>
    <row r="188" spans="1:22" ht="45" customHeight="1" x14ac:dyDescent="0.3">
      <c r="A188" s="496">
        <v>92</v>
      </c>
      <c r="B188" s="409">
        <v>23140000</v>
      </c>
      <c r="C188" s="453" t="s">
        <v>267</v>
      </c>
      <c r="D188" s="453" t="s">
        <v>268</v>
      </c>
      <c r="E188" s="432" t="s">
        <v>78</v>
      </c>
      <c r="F188" s="434" t="s">
        <v>79</v>
      </c>
      <c r="G188" s="149">
        <f t="shared" si="314"/>
        <v>1</v>
      </c>
      <c r="H188" s="24" t="s">
        <v>206</v>
      </c>
      <c r="I188" s="22">
        <f t="shared" si="190"/>
        <v>1000</v>
      </c>
      <c r="J188" s="23">
        <f t="shared" si="191"/>
        <v>19</v>
      </c>
      <c r="K188" s="169">
        <v>1190</v>
      </c>
      <c r="L188" s="5">
        <f t="shared" si="198"/>
        <v>1190</v>
      </c>
      <c r="M188" s="411">
        <f t="shared" ref="M188" si="351">IFERROR(AVERAGE(L188:L189),"")</f>
        <v>1190.5</v>
      </c>
      <c r="N188" s="411">
        <f t="shared" ref="N188" si="352">IFERROR(HARMEAN(L188:L189),"")</f>
        <v>1190.4997900041999</v>
      </c>
      <c r="O188" s="411">
        <f t="shared" ref="O188" si="353">IFERROR(MEDIAN(L188:L189),"")</f>
        <v>1190.5</v>
      </c>
      <c r="P188" s="86">
        <f t="shared" si="189"/>
        <v>1190</v>
      </c>
      <c r="Q188" s="413">
        <f t="shared" ref="Q188" si="354">IFERROR(SUM(P188:P189)/COUNTA(K188:K189),"")</f>
        <v>1190.5</v>
      </c>
      <c r="R188" s="411">
        <f t="shared" ref="R188" si="355">IFERROR(_xlfn.STDEV.S(L188:L189),"")</f>
        <v>0.70710678118654757</v>
      </c>
      <c r="S188" s="415">
        <f t="shared" ref="S188" si="356">IFERROR(R188/M188,"")</f>
        <v>5.9395781704035919E-4</v>
      </c>
      <c r="T188" s="417" t="s">
        <v>2005</v>
      </c>
      <c r="U188" s="407">
        <f t="shared" ref="U188:U251" si="357">M188</f>
        <v>1190.5</v>
      </c>
      <c r="V188" s="503" t="e" vm="79">
        <v>#VALUE!</v>
      </c>
    </row>
    <row r="189" spans="1:22" ht="45" customHeight="1" x14ac:dyDescent="0.3">
      <c r="A189" s="496"/>
      <c r="B189" s="266"/>
      <c r="C189" s="454"/>
      <c r="D189" s="454"/>
      <c r="E189" s="433"/>
      <c r="F189" s="435"/>
      <c r="G189" s="149">
        <f t="shared" si="314"/>
        <v>1</v>
      </c>
      <c r="H189" s="172" t="s">
        <v>209</v>
      </c>
      <c r="I189" s="22">
        <f t="shared" si="190"/>
        <v>1000.8403361344539</v>
      </c>
      <c r="J189" s="23">
        <f t="shared" si="191"/>
        <v>18.999999999999989</v>
      </c>
      <c r="K189" s="169">
        <v>1191</v>
      </c>
      <c r="L189" s="5">
        <f t="shared" si="198"/>
        <v>1191</v>
      </c>
      <c r="M189" s="412"/>
      <c r="N189" s="412"/>
      <c r="O189" s="412"/>
      <c r="P189" s="86">
        <f t="shared" si="189"/>
        <v>1191</v>
      </c>
      <c r="Q189" s="414"/>
      <c r="R189" s="412"/>
      <c r="S189" s="416"/>
      <c r="T189" s="418"/>
      <c r="U189" s="408">
        <f t="shared" si="357"/>
        <v>0</v>
      </c>
      <c r="V189" s="504"/>
    </row>
    <row r="190" spans="1:22" ht="45" customHeight="1" x14ac:dyDescent="0.3">
      <c r="A190" s="496">
        <v>93</v>
      </c>
      <c r="B190" s="409">
        <v>23140000</v>
      </c>
      <c r="C190" s="453" t="s">
        <v>269</v>
      </c>
      <c r="D190" s="453" t="s">
        <v>273</v>
      </c>
      <c r="E190" s="432" t="s">
        <v>78</v>
      </c>
      <c r="F190" s="434" t="s">
        <v>79</v>
      </c>
      <c r="G190" s="149">
        <f t="shared" si="314"/>
        <v>1</v>
      </c>
      <c r="H190" s="172" t="s">
        <v>206</v>
      </c>
      <c r="I190" s="22">
        <f t="shared" si="190"/>
        <v>3350</v>
      </c>
      <c r="J190" s="23">
        <f t="shared" si="191"/>
        <v>19</v>
      </c>
      <c r="K190" s="169">
        <v>3986.5</v>
      </c>
      <c r="L190" s="5">
        <f t="shared" si="198"/>
        <v>3986.5</v>
      </c>
      <c r="M190" s="411">
        <f t="shared" ref="M190" si="358">IFERROR(AVERAGE(L190:L191),"")</f>
        <v>3987</v>
      </c>
      <c r="N190" s="411">
        <f t="shared" ref="N190" si="359">IFERROR(HARMEAN(L190:L191),"")</f>
        <v>3986.9999372962125</v>
      </c>
      <c r="O190" s="411">
        <f t="shared" ref="O190" si="360">IFERROR(MEDIAN(L190:L191),"")</f>
        <v>3987</v>
      </c>
      <c r="P190" s="86">
        <f t="shared" si="189"/>
        <v>3986.5</v>
      </c>
      <c r="Q190" s="413">
        <f t="shared" ref="Q190" si="361">IFERROR(SUM(P190:P191)/COUNTA(K190:K191),"")</f>
        <v>3987</v>
      </c>
      <c r="R190" s="411">
        <f t="shared" ref="R190" si="362">IFERROR(_xlfn.STDEV.S(L190:L191),"")</f>
        <v>0.70710678118654757</v>
      </c>
      <c r="S190" s="415">
        <f t="shared" ref="S190" si="363">IFERROR(R190/M190,"")</f>
        <v>1.7735309284839417E-4</v>
      </c>
      <c r="T190" s="417" t="s">
        <v>2005</v>
      </c>
      <c r="U190" s="407">
        <f t="shared" si="357"/>
        <v>3987</v>
      </c>
      <c r="V190" s="503" t="e" vm="79">
        <v>#VALUE!</v>
      </c>
    </row>
    <row r="191" spans="1:22" ht="45" customHeight="1" x14ac:dyDescent="0.3">
      <c r="A191" s="496"/>
      <c r="B191" s="266"/>
      <c r="C191" s="454"/>
      <c r="D191" s="454"/>
      <c r="E191" s="433"/>
      <c r="F191" s="435"/>
      <c r="G191" s="149">
        <f t="shared" si="314"/>
        <v>1</v>
      </c>
      <c r="H191" s="172" t="s">
        <v>209</v>
      </c>
      <c r="I191" s="22">
        <f t="shared" si="190"/>
        <v>3350.840336134454</v>
      </c>
      <c r="J191" s="23">
        <f t="shared" si="191"/>
        <v>18.999999999999993</v>
      </c>
      <c r="K191" s="169">
        <v>3987.5</v>
      </c>
      <c r="L191" s="5">
        <f t="shared" si="198"/>
        <v>3987.5</v>
      </c>
      <c r="M191" s="412"/>
      <c r="N191" s="412"/>
      <c r="O191" s="412"/>
      <c r="P191" s="86">
        <f t="shared" si="189"/>
        <v>3987.5</v>
      </c>
      <c r="Q191" s="414"/>
      <c r="R191" s="412"/>
      <c r="S191" s="416"/>
      <c r="T191" s="418"/>
      <c r="U191" s="408">
        <f t="shared" si="357"/>
        <v>0</v>
      </c>
      <c r="V191" s="504"/>
    </row>
    <row r="192" spans="1:22" ht="45" customHeight="1" x14ac:dyDescent="0.3">
      <c r="A192" s="496">
        <v>94</v>
      </c>
      <c r="B192" s="409">
        <v>23140000</v>
      </c>
      <c r="C192" s="453" t="s">
        <v>271</v>
      </c>
      <c r="D192" s="453" t="s">
        <v>272</v>
      </c>
      <c r="E192" s="432" t="s">
        <v>78</v>
      </c>
      <c r="F192" s="434" t="s">
        <v>79</v>
      </c>
      <c r="G192" s="149">
        <f t="shared" si="314"/>
        <v>1</v>
      </c>
      <c r="H192" s="172" t="s">
        <v>206</v>
      </c>
      <c r="I192" s="22">
        <f t="shared" si="190"/>
        <v>4700</v>
      </c>
      <c r="J192" s="23">
        <f t="shared" si="191"/>
        <v>19</v>
      </c>
      <c r="K192" s="169">
        <v>5593</v>
      </c>
      <c r="L192" s="5">
        <f t="shared" si="198"/>
        <v>5593</v>
      </c>
      <c r="M192" s="411">
        <f t="shared" ref="M192" si="364">IFERROR(AVERAGE(L192:L193),"")</f>
        <v>5593.5</v>
      </c>
      <c r="N192" s="411">
        <f t="shared" ref="N192" si="365">IFERROR(HARMEAN(L192:L193),"")</f>
        <v>5593.4999553052658</v>
      </c>
      <c r="O192" s="411">
        <f t="shared" ref="O192" si="366">IFERROR(MEDIAN(L192:L193),"")</f>
        <v>5593.5</v>
      </c>
      <c r="P192" s="86">
        <f t="shared" si="189"/>
        <v>5593</v>
      </c>
      <c r="Q192" s="413">
        <f t="shared" ref="Q192" si="367">IFERROR(SUM(P192:P193)/COUNTA(K192:K193),"")</f>
        <v>5593.5</v>
      </c>
      <c r="R192" s="411">
        <f t="shared" ref="R192" si="368">IFERROR(_xlfn.STDEV.S(L192:L193),"")</f>
        <v>0.70710678118654757</v>
      </c>
      <c r="S192" s="415">
        <f t="shared" ref="S192" si="369">IFERROR(R192/M192,"")</f>
        <v>1.2641580069483287E-4</v>
      </c>
      <c r="T192" s="417" t="s">
        <v>2005</v>
      </c>
      <c r="U192" s="407">
        <f t="shared" si="357"/>
        <v>5593.5</v>
      </c>
      <c r="V192" s="503" t="e" vm="79">
        <v>#VALUE!</v>
      </c>
    </row>
    <row r="193" spans="1:22" ht="45" customHeight="1" x14ac:dyDescent="0.3">
      <c r="A193" s="496"/>
      <c r="B193" s="266"/>
      <c r="C193" s="454"/>
      <c r="D193" s="454"/>
      <c r="E193" s="433"/>
      <c r="F193" s="435"/>
      <c r="G193" s="149">
        <f t="shared" si="314"/>
        <v>1</v>
      </c>
      <c r="H193" s="172" t="s">
        <v>209</v>
      </c>
      <c r="I193" s="22">
        <f t="shared" si="190"/>
        <v>4700.8403361344544</v>
      </c>
      <c r="J193" s="23">
        <f t="shared" si="191"/>
        <v>18.999999999999982</v>
      </c>
      <c r="K193" s="169">
        <v>5594</v>
      </c>
      <c r="L193" s="5">
        <f t="shared" si="198"/>
        <v>5594</v>
      </c>
      <c r="M193" s="412"/>
      <c r="N193" s="412"/>
      <c r="O193" s="412"/>
      <c r="P193" s="86">
        <f t="shared" si="189"/>
        <v>5594</v>
      </c>
      <c r="Q193" s="414"/>
      <c r="R193" s="412"/>
      <c r="S193" s="416"/>
      <c r="T193" s="418"/>
      <c r="U193" s="408">
        <f t="shared" si="357"/>
        <v>0</v>
      </c>
      <c r="V193" s="504"/>
    </row>
    <row r="194" spans="1:22" ht="45" customHeight="1" x14ac:dyDescent="0.3">
      <c r="A194" s="496">
        <v>95</v>
      </c>
      <c r="B194" s="409">
        <v>23140000</v>
      </c>
      <c r="C194" s="453" t="s">
        <v>274</v>
      </c>
      <c r="D194" s="453" t="s">
        <v>275</v>
      </c>
      <c r="E194" s="432" t="s">
        <v>78</v>
      </c>
      <c r="F194" s="434" t="s">
        <v>79</v>
      </c>
      <c r="G194" s="149">
        <f t="shared" si="314"/>
        <v>1</v>
      </c>
      <c r="H194" s="24" t="s">
        <v>212</v>
      </c>
      <c r="I194" s="22">
        <f t="shared" si="190"/>
        <v>8800</v>
      </c>
      <c r="J194" s="23">
        <f t="shared" si="191"/>
        <v>19</v>
      </c>
      <c r="K194" s="169">
        <v>10472</v>
      </c>
      <c r="L194" s="5">
        <f t="shared" si="198"/>
        <v>10472</v>
      </c>
      <c r="M194" s="411">
        <f t="shared" ref="M194" si="370">IFERROR(AVERAGE(L194:L195),"")</f>
        <v>7378</v>
      </c>
      <c r="N194" s="411">
        <f t="shared" ref="N194" si="371">IFERROR(HARMEAN(L194:L195),"")</f>
        <v>6080.5161290322576</v>
      </c>
      <c r="O194" s="411">
        <f t="shared" ref="O194" si="372">IFERROR(MEDIAN(L194:L195),"")</f>
        <v>7378</v>
      </c>
      <c r="P194" s="86">
        <f t="shared" si="189"/>
        <v>10472</v>
      </c>
      <c r="Q194" s="413">
        <f t="shared" ref="Q194" si="373">IFERROR(SUM(P194:P195)/COUNTA(K194:K195),"")</f>
        <v>7378</v>
      </c>
      <c r="R194" s="411">
        <f t="shared" ref="R194" si="374">IFERROR(_xlfn.STDEV.S(L194:L195),"")</f>
        <v>4375.5767619823564</v>
      </c>
      <c r="S194" s="415">
        <f t="shared" ref="S194" si="375">IFERROR(R194/M194,"")</f>
        <v>0.5930573003500077</v>
      </c>
      <c r="T194" s="417" t="s">
        <v>2005</v>
      </c>
      <c r="U194" s="407">
        <f t="shared" si="357"/>
        <v>7378</v>
      </c>
      <c r="V194" s="503" t="e" vm="80">
        <v>#VALUE!</v>
      </c>
    </row>
    <row r="195" spans="1:22" ht="45" customHeight="1" x14ac:dyDescent="0.3">
      <c r="A195" s="496"/>
      <c r="B195" s="266"/>
      <c r="C195" s="454"/>
      <c r="D195" s="454"/>
      <c r="E195" s="433"/>
      <c r="F195" s="435"/>
      <c r="G195" s="149">
        <f t="shared" si="314"/>
        <v>1</v>
      </c>
      <c r="H195" s="53" t="s">
        <v>209</v>
      </c>
      <c r="I195" s="22">
        <f t="shared" si="190"/>
        <v>3600</v>
      </c>
      <c r="J195" s="23">
        <f t="shared" si="191"/>
        <v>19</v>
      </c>
      <c r="K195" s="169">
        <v>4284</v>
      </c>
      <c r="L195" s="5">
        <f t="shared" si="198"/>
        <v>4284</v>
      </c>
      <c r="M195" s="412"/>
      <c r="N195" s="412"/>
      <c r="O195" s="412"/>
      <c r="P195" s="86">
        <f t="shared" si="189"/>
        <v>4284</v>
      </c>
      <c r="Q195" s="414"/>
      <c r="R195" s="412"/>
      <c r="S195" s="416"/>
      <c r="T195" s="418"/>
      <c r="U195" s="408">
        <f t="shared" si="357"/>
        <v>0</v>
      </c>
      <c r="V195" s="504"/>
    </row>
    <row r="196" spans="1:22" ht="45" customHeight="1" x14ac:dyDescent="0.3">
      <c r="A196" s="496">
        <v>96</v>
      </c>
      <c r="B196" s="409">
        <v>23140000</v>
      </c>
      <c r="C196" s="453" t="s">
        <v>276</v>
      </c>
      <c r="D196" s="453" t="s">
        <v>277</v>
      </c>
      <c r="E196" s="432" t="s">
        <v>78</v>
      </c>
      <c r="F196" s="434" t="s">
        <v>79</v>
      </c>
      <c r="G196" s="149">
        <f t="shared" si="314"/>
        <v>1</v>
      </c>
      <c r="H196" s="24" t="s">
        <v>206</v>
      </c>
      <c r="I196" s="22">
        <f t="shared" si="190"/>
        <v>6300</v>
      </c>
      <c r="J196" s="23">
        <f t="shared" si="191"/>
        <v>19</v>
      </c>
      <c r="K196" s="169">
        <v>7497</v>
      </c>
      <c r="L196" s="5">
        <f t="shared" si="198"/>
        <v>7497</v>
      </c>
      <c r="M196" s="411">
        <f t="shared" ref="M196" si="376">IFERROR(AVERAGE(L196:L197),"")</f>
        <v>5890.5</v>
      </c>
      <c r="N196" s="411">
        <f t="shared" ref="N196" si="377">IFERROR(HARMEAN(L196:L197),"")</f>
        <v>5452.363636363636</v>
      </c>
      <c r="O196" s="411">
        <f t="shared" ref="O196" si="378">IFERROR(MEDIAN(L196:L197),"")</f>
        <v>5890.5</v>
      </c>
      <c r="P196" s="86">
        <f t="shared" si="189"/>
        <v>7497</v>
      </c>
      <c r="Q196" s="413">
        <f t="shared" ref="Q196" si="379">IFERROR(SUM(P196:P197)/COUNTA(K196:K197),"")</f>
        <v>5890.5</v>
      </c>
      <c r="R196" s="411">
        <f t="shared" ref="R196" si="380">IFERROR(_xlfn.STDEV.S(L196:L197),"")</f>
        <v>2271.934087952377</v>
      </c>
      <c r="S196" s="415">
        <f t="shared" ref="S196" si="381">IFERROR(R196/M196,"")</f>
        <v>0.38569460791993498</v>
      </c>
      <c r="T196" s="417" t="s">
        <v>2005</v>
      </c>
      <c r="U196" s="407">
        <f t="shared" si="357"/>
        <v>5890.5</v>
      </c>
      <c r="V196" s="503" t="e" vm="81">
        <v>#VALUE!</v>
      </c>
    </row>
    <row r="197" spans="1:22" ht="45" customHeight="1" x14ac:dyDescent="0.3">
      <c r="A197" s="496"/>
      <c r="B197" s="266"/>
      <c r="C197" s="454"/>
      <c r="D197" s="454"/>
      <c r="E197" s="433"/>
      <c r="F197" s="435"/>
      <c r="G197" s="149">
        <f t="shared" si="314"/>
        <v>1</v>
      </c>
      <c r="H197" s="53" t="s">
        <v>209</v>
      </c>
      <c r="I197" s="22">
        <f t="shared" si="190"/>
        <v>3600</v>
      </c>
      <c r="J197" s="23">
        <f t="shared" si="191"/>
        <v>19</v>
      </c>
      <c r="K197" s="169">
        <v>4284</v>
      </c>
      <c r="L197" s="5">
        <f t="shared" si="198"/>
        <v>4284</v>
      </c>
      <c r="M197" s="412"/>
      <c r="N197" s="412"/>
      <c r="O197" s="412"/>
      <c r="P197" s="86">
        <f t="shared" ref="P197:P260" si="382">IF(L197="","",L197)</f>
        <v>4284</v>
      </c>
      <c r="Q197" s="414"/>
      <c r="R197" s="412"/>
      <c r="S197" s="416"/>
      <c r="T197" s="418"/>
      <c r="U197" s="408">
        <f t="shared" si="357"/>
        <v>0</v>
      </c>
      <c r="V197" s="504"/>
    </row>
    <row r="198" spans="1:22" ht="45" customHeight="1" x14ac:dyDescent="0.3">
      <c r="A198" s="496">
        <v>97</v>
      </c>
      <c r="B198" s="409">
        <v>23140000</v>
      </c>
      <c r="C198" s="453" t="s">
        <v>278</v>
      </c>
      <c r="D198" s="453" t="s">
        <v>279</v>
      </c>
      <c r="E198" s="432" t="s">
        <v>78</v>
      </c>
      <c r="F198" s="434" t="s">
        <v>79</v>
      </c>
      <c r="G198" s="149">
        <f t="shared" si="314"/>
        <v>1</v>
      </c>
      <c r="H198" s="24" t="s">
        <v>206</v>
      </c>
      <c r="I198" s="22">
        <f t="shared" ref="I198:I261" si="383">IFERROR(K198/((100+J198)/100),"")</f>
        <v>5700</v>
      </c>
      <c r="J198" s="23">
        <f t="shared" ref="J198:J261" si="384">IF(K198="","",(K198-(K198/1.19))/(K198/1.19)*100)</f>
        <v>19</v>
      </c>
      <c r="K198" s="169">
        <v>6783</v>
      </c>
      <c r="L198" s="5">
        <f t="shared" si="198"/>
        <v>6783</v>
      </c>
      <c r="M198" s="411">
        <f t="shared" ref="M198" si="385">IFERROR(AVERAGE(L198:L199),"")</f>
        <v>5191.5</v>
      </c>
      <c r="N198" s="411">
        <f t="shared" ref="N198" si="386">IFERROR(HARMEAN(L198:L199),"")</f>
        <v>4703.6116729268997</v>
      </c>
      <c r="O198" s="411">
        <f t="shared" ref="O198" si="387">IFERROR(MEDIAN(L198:L199),"")</f>
        <v>5191.5</v>
      </c>
      <c r="P198" s="86">
        <f t="shared" si="382"/>
        <v>6783</v>
      </c>
      <c r="Q198" s="413">
        <f t="shared" ref="Q198" si="388">IFERROR(SUM(P198:P199)/COUNTA(K198:K199),"")</f>
        <v>5191.5</v>
      </c>
      <c r="R198" s="411">
        <f t="shared" ref="R198" si="389">IFERROR(_xlfn.STDEV.S(L198:L199),"")</f>
        <v>2250.7208845167806</v>
      </c>
      <c r="S198" s="415">
        <f t="shared" ref="S198" si="390">IFERROR(R198/M198,"")</f>
        <v>0.43353960984624496</v>
      </c>
      <c r="T198" s="417" t="s">
        <v>2005</v>
      </c>
      <c r="U198" s="407">
        <f t="shared" si="357"/>
        <v>5191.5</v>
      </c>
      <c r="V198" s="503" t="e" vm="81">
        <v>#VALUE!</v>
      </c>
    </row>
    <row r="199" spans="1:22" ht="45" customHeight="1" x14ac:dyDescent="0.3">
      <c r="A199" s="496"/>
      <c r="B199" s="266"/>
      <c r="C199" s="454"/>
      <c r="D199" s="454"/>
      <c r="E199" s="433"/>
      <c r="F199" s="435"/>
      <c r="G199" s="149">
        <f t="shared" si="314"/>
        <v>1</v>
      </c>
      <c r="H199" s="53" t="s">
        <v>209</v>
      </c>
      <c r="I199" s="22">
        <f t="shared" si="383"/>
        <v>3025.2100840336134</v>
      </c>
      <c r="J199" s="23">
        <f t="shared" si="384"/>
        <v>19.000000000000004</v>
      </c>
      <c r="K199" s="169">
        <v>3600</v>
      </c>
      <c r="L199" s="5">
        <f t="shared" si="198"/>
        <v>3600</v>
      </c>
      <c r="M199" s="412"/>
      <c r="N199" s="412"/>
      <c r="O199" s="412"/>
      <c r="P199" s="86">
        <f t="shared" si="382"/>
        <v>3600</v>
      </c>
      <c r="Q199" s="414"/>
      <c r="R199" s="412"/>
      <c r="S199" s="416"/>
      <c r="T199" s="418"/>
      <c r="U199" s="408">
        <f t="shared" si="357"/>
        <v>0</v>
      </c>
      <c r="V199" s="504"/>
    </row>
    <row r="200" spans="1:22" ht="45" customHeight="1" x14ac:dyDescent="0.3">
      <c r="A200" s="496">
        <v>98</v>
      </c>
      <c r="B200" s="409">
        <v>23140000</v>
      </c>
      <c r="C200" s="453" t="s">
        <v>280</v>
      </c>
      <c r="D200" s="453" t="s">
        <v>281</v>
      </c>
      <c r="E200" s="432" t="s">
        <v>78</v>
      </c>
      <c r="F200" s="434" t="s">
        <v>79</v>
      </c>
      <c r="G200" s="149">
        <f t="shared" si="314"/>
        <v>1</v>
      </c>
      <c r="H200" s="24" t="s">
        <v>206</v>
      </c>
      <c r="I200" s="22">
        <f t="shared" si="383"/>
        <v>3000</v>
      </c>
      <c r="J200" s="23">
        <f t="shared" si="384"/>
        <v>19</v>
      </c>
      <c r="K200" s="169">
        <v>3570</v>
      </c>
      <c r="L200" s="5">
        <f t="shared" ref="L200:L263" si="391">IF(I200="","",(K200)*G200)</f>
        <v>3570</v>
      </c>
      <c r="M200" s="411">
        <f t="shared" ref="M200" si="392">IFERROR(AVERAGE(L200:L201),"")</f>
        <v>3771.5</v>
      </c>
      <c r="N200" s="411">
        <f t="shared" ref="N200" si="393">IFERROR(HARMEAN(L200:L201),"")</f>
        <v>3760.7344557868223</v>
      </c>
      <c r="O200" s="411">
        <f t="shared" ref="O200" si="394">IFERROR(MEDIAN(L200:L201),"")</f>
        <v>3771.5</v>
      </c>
      <c r="P200" s="86">
        <f t="shared" si="382"/>
        <v>3570</v>
      </c>
      <c r="Q200" s="413">
        <f t="shared" ref="Q200" si="395">IFERROR(SUM(P200:P201)/COUNTA(K200:K201),"")</f>
        <v>3771.5</v>
      </c>
      <c r="R200" s="411">
        <f t="shared" ref="R200" si="396">IFERROR(_xlfn.STDEV.S(L200:L201),"")</f>
        <v>284.96403281817868</v>
      </c>
      <c r="S200" s="415">
        <f t="shared" ref="S200" si="397">IFERROR(R200/M200,"")</f>
        <v>7.5557214057584171E-2</v>
      </c>
      <c r="T200" s="417" t="s">
        <v>2005</v>
      </c>
      <c r="U200" s="407">
        <f t="shared" si="357"/>
        <v>3771.5</v>
      </c>
      <c r="V200" s="503" t="e" vm="82">
        <v>#VALUE!</v>
      </c>
    </row>
    <row r="201" spans="1:22" ht="45" customHeight="1" x14ac:dyDescent="0.3">
      <c r="A201" s="496"/>
      <c r="B201" s="266"/>
      <c r="C201" s="454"/>
      <c r="D201" s="454"/>
      <c r="E201" s="433"/>
      <c r="F201" s="435"/>
      <c r="G201" s="149">
        <f t="shared" si="314"/>
        <v>1</v>
      </c>
      <c r="H201" s="53" t="s">
        <v>243</v>
      </c>
      <c r="I201" s="22">
        <f t="shared" si="383"/>
        <v>3338.6554621848741</v>
      </c>
      <c r="J201" s="23">
        <f t="shared" si="384"/>
        <v>18.999999999999993</v>
      </c>
      <c r="K201" s="169">
        <v>3973</v>
      </c>
      <c r="L201" s="5">
        <f t="shared" si="391"/>
        <v>3973</v>
      </c>
      <c r="M201" s="412"/>
      <c r="N201" s="412"/>
      <c r="O201" s="412"/>
      <c r="P201" s="86">
        <f t="shared" si="382"/>
        <v>3973</v>
      </c>
      <c r="Q201" s="414"/>
      <c r="R201" s="412"/>
      <c r="S201" s="416"/>
      <c r="T201" s="418"/>
      <c r="U201" s="408">
        <f t="shared" si="357"/>
        <v>0</v>
      </c>
      <c r="V201" s="504"/>
    </row>
    <row r="202" spans="1:22" ht="45" customHeight="1" x14ac:dyDescent="0.3">
      <c r="A202" s="496">
        <v>99</v>
      </c>
      <c r="B202" s="409">
        <v>23140000</v>
      </c>
      <c r="C202" s="453" t="s">
        <v>282</v>
      </c>
      <c r="D202" s="453" t="s">
        <v>283</v>
      </c>
      <c r="E202" s="432" t="s">
        <v>78</v>
      </c>
      <c r="F202" s="434" t="s">
        <v>79</v>
      </c>
      <c r="G202" s="149">
        <f t="shared" si="314"/>
        <v>1</v>
      </c>
      <c r="H202" s="24" t="s">
        <v>206</v>
      </c>
      <c r="I202" s="22">
        <f t="shared" si="383"/>
        <v>3000</v>
      </c>
      <c r="J202" s="23">
        <f t="shared" si="384"/>
        <v>19</v>
      </c>
      <c r="K202" s="169">
        <v>3570</v>
      </c>
      <c r="L202" s="5">
        <f t="shared" si="391"/>
        <v>3570</v>
      </c>
      <c r="M202" s="411">
        <f t="shared" ref="M202" si="398">IFERROR(AVERAGE(L202:L203),"")</f>
        <v>3771.5</v>
      </c>
      <c r="N202" s="411">
        <f t="shared" ref="N202" si="399">IFERROR(HARMEAN(L202:L203),"")</f>
        <v>3760.7344557868223</v>
      </c>
      <c r="O202" s="411">
        <f t="shared" ref="O202" si="400">IFERROR(MEDIAN(L202:L203),"")</f>
        <v>3771.5</v>
      </c>
      <c r="P202" s="86">
        <f t="shared" si="382"/>
        <v>3570</v>
      </c>
      <c r="Q202" s="413">
        <f t="shared" ref="Q202" si="401">IFERROR(SUM(P202:P203)/COUNTA(K202:K203),"")</f>
        <v>3771.5</v>
      </c>
      <c r="R202" s="411">
        <f t="shared" ref="R202" si="402">IFERROR(_xlfn.STDEV.S(L202:L203),"")</f>
        <v>284.96403281817868</v>
      </c>
      <c r="S202" s="415">
        <f t="shared" ref="S202" si="403">IFERROR(R202/M202,"")</f>
        <v>7.5557214057584171E-2</v>
      </c>
      <c r="T202" s="417" t="s">
        <v>2005</v>
      </c>
      <c r="U202" s="407">
        <f t="shared" si="357"/>
        <v>3771.5</v>
      </c>
      <c r="V202" s="503" t="e" vm="82">
        <v>#VALUE!</v>
      </c>
    </row>
    <row r="203" spans="1:22" ht="45" customHeight="1" x14ac:dyDescent="0.3">
      <c r="A203" s="496"/>
      <c r="B203" s="266"/>
      <c r="C203" s="454"/>
      <c r="D203" s="454"/>
      <c r="E203" s="433"/>
      <c r="F203" s="435"/>
      <c r="G203" s="149">
        <f t="shared" si="314"/>
        <v>1</v>
      </c>
      <c r="H203" s="53" t="s">
        <v>243</v>
      </c>
      <c r="I203" s="22">
        <f t="shared" si="383"/>
        <v>3338.6554621848741</v>
      </c>
      <c r="J203" s="23">
        <f t="shared" si="384"/>
        <v>18.999999999999993</v>
      </c>
      <c r="K203" s="169">
        <v>3973</v>
      </c>
      <c r="L203" s="5">
        <f t="shared" si="391"/>
        <v>3973</v>
      </c>
      <c r="M203" s="412"/>
      <c r="N203" s="412"/>
      <c r="O203" s="412"/>
      <c r="P203" s="86">
        <f t="shared" si="382"/>
        <v>3973</v>
      </c>
      <c r="Q203" s="414"/>
      <c r="R203" s="412"/>
      <c r="S203" s="416"/>
      <c r="T203" s="418"/>
      <c r="U203" s="408">
        <f t="shared" si="357"/>
        <v>0</v>
      </c>
      <c r="V203" s="504"/>
    </row>
    <row r="204" spans="1:22" ht="45" customHeight="1" x14ac:dyDescent="0.3">
      <c r="A204" s="496">
        <v>100</v>
      </c>
      <c r="B204" s="409">
        <v>23140000</v>
      </c>
      <c r="C204" s="453" t="s">
        <v>284</v>
      </c>
      <c r="D204" s="453" t="s">
        <v>285</v>
      </c>
      <c r="E204" s="432" t="s">
        <v>78</v>
      </c>
      <c r="F204" s="434" t="s">
        <v>79</v>
      </c>
      <c r="G204" s="149">
        <f t="shared" si="314"/>
        <v>1</v>
      </c>
      <c r="H204" s="24" t="s">
        <v>206</v>
      </c>
      <c r="I204" s="22">
        <f t="shared" si="383"/>
        <v>3100</v>
      </c>
      <c r="J204" s="23">
        <f t="shared" si="384"/>
        <v>19</v>
      </c>
      <c r="K204" s="169">
        <v>3689</v>
      </c>
      <c r="L204" s="5">
        <f t="shared" si="391"/>
        <v>3689</v>
      </c>
      <c r="M204" s="411">
        <f t="shared" ref="M204" si="404">IFERROR(AVERAGE(L204:L205),"")</f>
        <v>3831</v>
      </c>
      <c r="N204" s="411">
        <f t="shared" ref="N204" si="405">IFERROR(HARMEAN(L204:L205),"")</f>
        <v>3825.7366222918299</v>
      </c>
      <c r="O204" s="411">
        <f t="shared" ref="O204" si="406">IFERROR(MEDIAN(L204:L205),"")</f>
        <v>3831</v>
      </c>
      <c r="P204" s="86">
        <f t="shared" si="382"/>
        <v>3689</v>
      </c>
      <c r="Q204" s="413">
        <f t="shared" ref="Q204" si="407">IFERROR(SUM(P204:P205)/COUNTA(K204:K205),"")</f>
        <v>3831</v>
      </c>
      <c r="R204" s="411">
        <f t="shared" ref="R204" si="408">IFERROR(_xlfn.STDEV.S(L204:L205),"")</f>
        <v>200.8183258569795</v>
      </c>
      <c r="S204" s="415">
        <f t="shared" ref="S204" si="409">IFERROR(R204/M204,"")</f>
        <v>5.2419296752017619E-2</v>
      </c>
      <c r="T204" s="417" t="s">
        <v>2005</v>
      </c>
      <c r="U204" s="407">
        <f t="shared" si="357"/>
        <v>3831</v>
      </c>
      <c r="V204" s="503" t="e" vm="82">
        <v>#VALUE!</v>
      </c>
    </row>
    <row r="205" spans="1:22" ht="45" customHeight="1" x14ac:dyDescent="0.3">
      <c r="A205" s="496"/>
      <c r="B205" s="266"/>
      <c r="C205" s="454"/>
      <c r="D205" s="454"/>
      <c r="E205" s="433"/>
      <c r="F205" s="435"/>
      <c r="G205" s="149">
        <f t="shared" si="314"/>
        <v>1</v>
      </c>
      <c r="H205" s="53" t="s">
        <v>243</v>
      </c>
      <c r="I205" s="22">
        <f t="shared" si="383"/>
        <v>3338.6554621848741</v>
      </c>
      <c r="J205" s="23">
        <f t="shared" si="384"/>
        <v>18.999999999999993</v>
      </c>
      <c r="K205" s="22">
        <v>3973</v>
      </c>
      <c r="L205" s="5">
        <f t="shared" si="391"/>
        <v>3973</v>
      </c>
      <c r="M205" s="412"/>
      <c r="N205" s="412"/>
      <c r="O205" s="412"/>
      <c r="P205" s="86">
        <f t="shared" si="382"/>
        <v>3973</v>
      </c>
      <c r="Q205" s="414"/>
      <c r="R205" s="412"/>
      <c r="S205" s="416"/>
      <c r="T205" s="418"/>
      <c r="U205" s="408">
        <f t="shared" si="357"/>
        <v>0</v>
      </c>
      <c r="V205" s="504"/>
    </row>
    <row r="206" spans="1:22" ht="45" customHeight="1" x14ac:dyDescent="0.3">
      <c r="A206" s="496">
        <v>101</v>
      </c>
      <c r="B206" s="409">
        <v>23140000</v>
      </c>
      <c r="C206" s="453" t="s">
        <v>286</v>
      </c>
      <c r="D206" s="453" t="s">
        <v>287</v>
      </c>
      <c r="E206" s="432" t="s">
        <v>78</v>
      </c>
      <c r="F206" s="434" t="s">
        <v>79</v>
      </c>
      <c r="G206" s="149">
        <f t="shared" si="314"/>
        <v>1</v>
      </c>
      <c r="H206" s="24" t="s">
        <v>243</v>
      </c>
      <c r="I206" s="22">
        <f t="shared" si="383"/>
        <v>3000</v>
      </c>
      <c r="J206" s="23">
        <f t="shared" si="384"/>
        <v>19</v>
      </c>
      <c r="K206" s="169">
        <v>3570</v>
      </c>
      <c r="L206" s="5">
        <f t="shared" si="391"/>
        <v>3570</v>
      </c>
      <c r="M206" s="411">
        <f t="shared" ref="M206" si="410">IFERROR(AVERAGE(L206:L207),"")</f>
        <v>4046</v>
      </c>
      <c r="N206" s="411">
        <f t="shared" ref="N206" si="411">IFERROR(HARMEAN(L206:L207),"")</f>
        <v>3990</v>
      </c>
      <c r="O206" s="411">
        <f t="shared" ref="O206" si="412">IFERROR(MEDIAN(L206:L207),"")</f>
        <v>4046</v>
      </c>
      <c r="P206" s="86">
        <f t="shared" si="382"/>
        <v>3570</v>
      </c>
      <c r="Q206" s="413">
        <f t="shared" ref="Q206" si="413">IFERROR(SUM(P206:P207)/COUNTA(K206:K207),"")</f>
        <v>4046</v>
      </c>
      <c r="R206" s="411">
        <f t="shared" ref="R206" si="414">IFERROR(_xlfn.STDEV.S(L206:L207),"")</f>
        <v>673.16565568959322</v>
      </c>
      <c r="S206" s="415">
        <f t="shared" ref="S206" si="415">IFERROR(R206/M206,"")</f>
        <v>0.16637806616154058</v>
      </c>
      <c r="T206" s="417" t="s">
        <v>2005</v>
      </c>
      <c r="U206" s="407">
        <f t="shared" si="357"/>
        <v>4046</v>
      </c>
      <c r="V206" s="503" t="e" vm="83">
        <v>#VALUE!</v>
      </c>
    </row>
    <row r="207" spans="1:22" ht="45" customHeight="1" x14ac:dyDescent="0.3">
      <c r="A207" s="496"/>
      <c r="B207" s="266"/>
      <c r="C207" s="454"/>
      <c r="D207" s="454"/>
      <c r="E207" s="433"/>
      <c r="F207" s="435"/>
      <c r="G207" s="149">
        <f t="shared" si="314"/>
        <v>1</v>
      </c>
      <c r="H207" s="53" t="s">
        <v>122</v>
      </c>
      <c r="I207" s="22">
        <f t="shared" si="383"/>
        <v>3800</v>
      </c>
      <c r="J207" s="23">
        <f t="shared" si="384"/>
        <v>19</v>
      </c>
      <c r="K207" s="169">
        <v>4522</v>
      </c>
      <c r="L207" s="5">
        <f t="shared" si="391"/>
        <v>4522</v>
      </c>
      <c r="M207" s="412"/>
      <c r="N207" s="412"/>
      <c r="O207" s="412"/>
      <c r="P207" s="86">
        <f t="shared" si="382"/>
        <v>4522</v>
      </c>
      <c r="Q207" s="414"/>
      <c r="R207" s="412"/>
      <c r="S207" s="416"/>
      <c r="T207" s="418"/>
      <c r="U207" s="408">
        <f t="shared" si="357"/>
        <v>0</v>
      </c>
      <c r="V207" s="504"/>
    </row>
    <row r="208" spans="1:22" ht="45" customHeight="1" x14ac:dyDescent="0.3">
      <c r="A208" s="496">
        <v>102</v>
      </c>
      <c r="B208" s="409">
        <v>23140000</v>
      </c>
      <c r="C208" s="453" t="s">
        <v>288</v>
      </c>
      <c r="D208" s="453" t="s">
        <v>289</v>
      </c>
      <c r="E208" s="432" t="s">
        <v>78</v>
      </c>
      <c r="F208" s="434" t="s">
        <v>79</v>
      </c>
      <c r="G208" s="149">
        <f t="shared" si="314"/>
        <v>1</v>
      </c>
      <c r="H208" s="24" t="s">
        <v>243</v>
      </c>
      <c r="I208" s="22">
        <f t="shared" si="383"/>
        <v>1618.0000000000002</v>
      </c>
      <c r="J208" s="23">
        <f t="shared" si="384"/>
        <v>18.999999999999989</v>
      </c>
      <c r="K208" s="169">
        <v>1925.42</v>
      </c>
      <c r="L208" s="5">
        <f t="shared" si="391"/>
        <v>1925.42</v>
      </c>
      <c r="M208" s="411">
        <f t="shared" ref="M208" si="416">IFERROR(AVERAGE(L208:L209),"")</f>
        <v>2807.21</v>
      </c>
      <c r="N208" s="411">
        <f t="shared" ref="N208" si="417">IFERROR(HARMEAN(L208:L209),"")</f>
        <v>2530.2255192878342</v>
      </c>
      <c r="O208" s="411">
        <f t="shared" ref="O208" si="418">IFERROR(MEDIAN(L208:L209),"")</f>
        <v>2807.21</v>
      </c>
      <c r="P208" s="86">
        <f t="shared" si="382"/>
        <v>1925.42</v>
      </c>
      <c r="Q208" s="413">
        <f t="shared" ref="Q208" si="419">IFERROR(SUM(P208:P209)/COUNTA(K208:K209),"")</f>
        <v>2807.21</v>
      </c>
      <c r="R208" s="411">
        <f t="shared" ref="R208" si="420">IFERROR(_xlfn.STDEV.S(L208:L209),"")</f>
        <v>1247.0393771649708</v>
      </c>
      <c r="S208" s="415">
        <f t="shared" ref="S208" si="421">IFERROR(R208/M208,"")</f>
        <v>0.44422732077933991</v>
      </c>
      <c r="T208" s="417" t="s">
        <v>2005</v>
      </c>
      <c r="U208" s="407">
        <f t="shared" si="357"/>
        <v>2807.21</v>
      </c>
      <c r="V208" s="503" t="e" vm="84">
        <v>#VALUE!</v>
      </c>
    </row>
    <row r="209" spans="1:22" ht="45" customHeight="1" x14ac:dyDescent="0.3">
      <c r="A209" s="496"/>
      <c r="B209" s="266"/>
      <c r="C209" s="454"/>
      <c r="D209" s="454"/>
      <c r="E209" s="433"/>
      <c r="F209" s="435"/>
      <c r="G209" s="149">
        <f t="shared" ref="G209:G224" si="422">G208</f>
        <v>1</v>
      </c>
      <c r="H209" s="53" t="s">
        <v>147</v>
      </c>
      <c r="I209" s="22">
        <f t="shared" si="383"/>
        <v>3100</v>
      </c>
      <c r="J209" s="23">
        <f t="shared" si="384"/>
        <v>19</v>
      </c>
      <c r="K209" s="169">
        <v>3689</v>
      </c>
      <c r="L209" s="5">
        <f t="shared" si="391"/>
        <v>3689</v>
      </c>
      <c r="M209" s="412"/>
      <c r="N209" s="412"/>
      <c r="O209" s="412"/>
      <c r="P209" s="86">
        <f t="shared" si="382"/>
        <v>3689</v>
      </c>
      <c r="Q209" s="414"/>
      <c r="R209" s="412"/>
      <c r="S209" s="416"/>
      <c r="T209" s="418"/>
      <c r="U209" s="408">
        <f t="shared" si="357"/>
        <v>0</v>
      </c>
      <c r="V209" s="504"/>
    </row>
    <row r="210" spans="1:22" ht="45" customHeight="1" x14ac:dyDescent="0.3">
      <c r="A210" s="496">
        <v>103</v>
      </c>
      <c r="B210" s="409">
        <v>23140000</v>
      </c>
      <c r="C210" s="453" t="s">
        <v>291</v>
      </c>
      <c r="D210" s="453" t="s">
        <v>292</v>
      </c>
      <c r="E210" s="432" t="s">
        <v>78</v>
      </c>
      <c r="F210" s="434" t="s">
        <v>79</v>
      </c>
      <c r="G210" s="149">
        <f t="shared" si="422"/>
        <v>1</v>
      </c>
      <c r="H210" s="24" t="s">
        <v>243</v>
      </c>
      <c r="I210" s="22">
        <f t="shared" si="383"/>
        <v>1618.0000000000002</v>
      </c>
      <c r="J210" s="23">
        <f t="shared" si="384"/>
        <v>18.999999999999989</v>
      </c>
      <c r="K210" s="169">
        <v>1925.42</v>
      </c>
      <c r="L210" s="5">
        <f t="shared" si="391"/>
        <v>1925.42</v>
      </c>
      <c r="M210" s="411">
        <f t="shared" ref="M210" si="423">IFERROR(AVERAGE(L210:L211),"")</f>
        <v>2807.21</v>
      </c>
      <c r="N210" s="411">
        <f t="shared" ref="N210" si="424">IFERROR(HARMEAN(L210:L211),"")</f>
        <v>2530.2255192878342</v>
      </c>
      <c r="O210" s="411">
        <f t="shared" ref="O210" si="425">IFERROR(MEDIAN(L210:L211),"")</f>
        <v>2807.21</v>
      </c>
      <c r="P210" s="86">
        <f t="shared" si="382"/>
        <v>1925.42</v>
      </c>
      <c r="Q210" s="413">
        <f t="shared" ref="Q210" si="426">IFERROR(SUM(P210:P211)/COUNTA(K210:K211),"")</f>
        <v>2807.21</v>
      </c>
      <c r="R210" s="411">
        <f t="shared" ref="R210" si="427">IFERROR(_xlfn.STDEV.S(L210:L211),"")</f>
        <v>1247.0393771649708</v>
      </c>
      <c r="S210" s="415">
        <f t="shared" ref="S210" si="428">IFERROR(R210/M210,"")</f>
        <v>0.44422732077933991</v>
      </c>
      <c r="T210" s="417" t="s">
        <v>2005</v>
      </c>
      <c r="U210" s="407">
        <f t="shared" si="357"/>
        <v>2807.21</v>
      </c>
      <c r="V210" s="503" t="e" vm="84">
        <v>#VALUE!</v>
      </c>
    </row>
    <row r="211" spans="1:22" ht="45" customHeight="1" x14ac:dyDescent="0.3">
      <c r="A211" s="496"/>
      <c r="B211" s="266"/>
      <c r="C211" s="454"/>
      <c r="D211" s="454"/>
      <c r="E211" s="433"/>
      <c r="F211" s="435"/>
      <c r="G211" s="149">
        <f t="shared" si="422"/>
        <v>1</v>
      </c>
      <c r="H211" s="53" t="s">
        <v>147</v>
      </c>
      <c r="I211" s="22">
        <f t="shared" si="383"/>
        <v>3100</v>
      </c>
      <c r="J211" s="23">
        <f t="shared" si="384"/>
        <v>19</v>
      </c>
      <c r="K211" s="169">
        <v>3689</v>
      </c>
      <c r="L211" s="5">
        <f t="shared" si="391"/>
        <v>3689</v>
      </c>
      <c r="M211" s="412"/>
      <c r="N211" s="412"/>
      <c r="O211" s="412"/>
      <c r="P211" s="86">
        <f t="shared" si="382"/>
        <v>3689</v>
      </c>
      <c r="Q211" s="414"/>
      <c r="R211" s="412"/>
      <c r="S211" s="416"/>
      <c r="T211" s="418"/>
      <c r="U211" s="408">
        <f t="shared" si="357"/>
        <v>0</v>
      </c>
      <c r="V211" s="504"/>
    </row>
    <row r="212" spans="1:22" ht="45" customHeight="1" x14ac:dyDescent="0.3">
      <c r="A212" s="496">
        <v>104</v>
      </c>
      <c r="B212" s="409">
        <v>23140000</v>
      </c>
      <c r="C212" s="453" t="s">
        <v>293</v>
      </c>
      <c r="D212" s="453" t="s">
        <v>294</v>
      </c>
      <c r="E212" s="432" t="s">
        <v>78</v>
      </c>
      <c r="F212" s="434" t="s">
        <v>79</v>
      </c>
      <c r="G212" s="149">
        <f t="shared" si="422"/>
        <v>1</v>
      </c>
      <c r="H212" s="24" t="s">
        <v>243</v>
      </c>
      <c r="I212" s="22">
        <f t="shared" si="383"/>
        <v>1618.0000000000002</v>
      </c>
      <c r="J212" s="23">
        <f t="shared" si="384"/>
        <v>18.999999999999989</v>
      </c>
      <c r="K212" s="169">
        <v>1925.42</v>
      </c>
      <c r="L212" s="5">
        <f t="shared" si="391"/>
        <v>1925.42</v>
      </c>
      <c r="M212" s="411">
        <f t="shared" ref="M212" si="429">IFERROR(AVERAGE(L212:L213),"")</f>
        <v>2807.21</v>
      </c>
      <c r="N212" s="411">
        <f t="shared" ref="N212" si="430">IFERROR(HARMEAN(L212:L213),"")</f>
        <v>2530.2255192878342</v>
      </c>
      <c r="O212" s="411">
        <f t="shared" ref="O212" si="431">IFERROR(MEDIAN(L212:L213),"")</f>
        <v>2807.21</v>
      </c>
      <c r="P212" s="86">
        <f t="shared" si="382"/>
        <v>1925.42</v>
      </c>
      <c r="Q212" s="413">
        <f t="shared" ref="Q212" si="432">IFERROR(SUM(P212:P213)/COUNTA(K212:K213),"")</f>
        <v>2807.21</v>
      </c>
      <c r="R212" s="411">
        <f t="shared" ref="R212" si="433">IFERROR(_xlfn.STDEV.S(L212:L213),"")</f>
        <v>1247.0393771649708</v>
      </c>
      <c r="S212" s="415">
        <f t="shared" ref="S212" si="434">IFERROR(R212/M212,"")</f>
        <v>0.44422732077933991</v>
      </c>
      <c r="T212" s="417" t="s">
        <v>2005</v>
      </c>
      <c r="U212" s="407">
        <f t="shared" si="357"/>
        <v>2807.21</v>
      </c>
      <c r="V212" s="503" t="e" vm="84">
        <v>#VALUE!</v>
      </c>
    </row>
    <row r="213" spans="1:22" ht="45" customHeight="1" x14ac:dyDescent="0.3">
      <c r="A213" s="496"/>
      <c r="B213" s="266"/>
      <c r="C213" s="454"/>
      <c r="D213" s="454"/>
      <c r="E213" s="433"/>
      <c r="F213" s="435"/>
      <c r="G213" s="149">
        <f t="shared" si="422"/>
        <v>1</v>
      </c>
      <c r="H213" s="53" t="s">
        <v>147</v>
      </c>
      <c r="I213" s="22">
        <f t="shared" si="383"/>
        <v>3100</v>
      </c>
      <c r="J213" s="23">
        <f t="shared" si="384"/>
        <v>19</v>
      </c>
      <c r="K213" s="169">
        <v>3689</v>
      </c>
      <c r="L213" s="5">
        <f t="shared" si="391"/>
        <v>3689</v>
      </c>
      <c r="M213" s="412"/>
      <c r="N213" s="412"/>
      <c r="O213" s="412"/>
      <c r="P213" s="86">
        <f t="shared" si="382"/>
        <v>3689</v>
      </c>
      <c r="Q213" s="414"/>
      <c r="R213" s="412"/>
      <c r="S213" s="416"/>
      <c r="T213" s="418"/>
      <c r="U213" s="408">
        <f t="shared" si="357"/>
        <v>0</v>
      </c>
      <c r="V213" s="504"/>
    </row>
    <row r="214" spans="1:22" ht="45" customHeight="1" x14ac:dyDescent="0.3">
      <c r="A214" s="496">
        <v>105</v>
      </c>
      <c r="B214" s="409">
        <v>23140000</v>
      </c>
      <c r="C214" s="453" t="s">
        <v>295</v>
      </c>
      <c r="D214" s="453" t="s">
        <v>296</v>
      </c>
      <c r="E214" s="432" t="s">
        <v>78</v>
      </c>
      <c r="F214" s="434" t="s">
        <v>79</v>
      </c>
      <c r="G214" s="149">
        <f t="shared" si="422"/>
        <v>1</v>
      </c>
      <c r="H214" s="24" t="s">
        <v>206</v>
      </c>
      <c r="I214" s="22">
        <f t="shared" si="383"/>
        <v>1180</v>
      </c>
      <c r="J214" s="23">
        <f t="shared" si="384"/>
        <v>19.000000000000004</v>
      </c>
      <c r="K214" s="169">
        <v>1404.2</v>
      </c>
      <c r="L214" s="5">
        <f t="shared" si="391"/>
        <v>1404.2</v>
      </c>
      <c r="M214" s="411">
        <f t="shared" ref="M214" si="435">IFERROR(AVERAGE(L214:L215),"")</f>
        <v>1491.0700000000002</v>
      </c>
      <c r="N214" s="411">
        <f t="shared" ref="N214" si="436">IFERROR(HARMEAN(L214:L215),"")</f>
        <v>1486.008938547486</v>
      </c>
      <c r="O214" s="411">
        <f t="shared" ref="O214" si="437">IFERROR(MEDIAN(L214:L215),"")</f>
        <v>1491.0700000000002</v>
      </c>
      <c r="P214" s="86">
        <f t="shared" si="382"/>
        <v>1404.2</v>
      </c>
      <c r="Q214" s="413">
        <f t="shared" ref="Q214" si="438">IFERROR(SUM(P214:P215)/COUNTA(K214:K215),"")</f>
        <v>1491.0700000000002</v>
      </c>
      <c r="R214" s="411">
        <f t="shared" ref="R214" si="439">IFERROR(_xlfn.STDEV.S(L214:L215),"")</f>
        <v>122.85273216335077</v>
      </c>
      <c r="S214" s="415">
        <f t="shared" ref="S214" si="440">IFERROR(R214/M214,"")</f>
        <v>8.2392330449509915E-2</v>
      </c>
      <c r="T214" s="417" t="s">
        <v>2005</v>
      </c>
      <c r="U214" s="407">
        <f t="shared" si="357"/>
        <v>1491.0700000000002</v>
      </c>
      <c r="V214" s="503" t="e" vm="85">
        <v>#VALUE!</v>
      </c>
    </row>
    <row r="215" spans="1:22" ht="45" customHeight="1" x14ac:dyDescent="0.3">
      <c r="A215" s="496"/>
      <c r="B215" s="266"/>
      <c r="C215" s="454"/>
      <c r="D215" s="454"/>
      <c r="E215" s="433"/>
      <c r="F215" s="435"/>
      <c r="G215" s="149">
        <f t="shared" si="422"/>
        <v>1</v>
      </c>
      <c r="H215" s="53" t="s">
        <v>243</v>
      </c>
      <c r="I215" s="22">
        <f t="shared" si="383"/>
        <v>1326</v>
      </c>
      <c r="J215" s="23">
        <f t="shared" si="384"/>
        <v>19.000000000000004</v>
      </c>
      <c r="K215" s="169">
        <v>1577.94</v>
      </c>
      <c r="L215" s="5">
        <f t="shared" si="391"/>
        <v>1577.94</v>
      </c>
      <c r="M215" s="412"/>
      <c r="N215" s="412"/>
      <c r="O215" s="412"/>
      <c r="P215" s="86">
        <f t="shared" si="382"/>
        <v>1577.94</v>
      </c>
      <c r="Q215" s="414"/>
      <c r="R215" s="412"/>
      <c r="S215" s="416"/>
      <c r="T215" s="418"/>
      <c r="U215" s="408">
        <f t="shared" si="357"/>
        <v>0</v>
      </c>
      <c r="V215" s="504"/>
    </row>
    <row r="216" spans="1:22" ht="45" customHeight="1" x14ac:dyDescent="0.3">
      <c r="A216" s="496">
        <v>106</v>
      </c>
      <c r="B216" s="409">
        <v>23140000</v>
      </c>
      <c r="C216" s="453" t="s">
        <v>297</v>
      </c>
      <c r="D216" s="453" t="s">
        <v>298</v>
      </c>
      <c r="E216" s="432" t="s">
        <v>78</v>
      </c>
      <c r="F216" s="434" t="s">
        <v>79</v>
      </c>
      <c r="G216" s="149">
        <f t="shared" si="422"/>
        <v>1</v>
      </c>
      <c r="H216" s="24" t="s">
        <v>206</v>
      </c>
      <c r="I216" s="22">
        <f t="shared" si="383"/>
        <v>1670</v>
      </c>
      <c r="J216" s="23">
        <f t="shared" si="384"/>
        <v>18.999999999999996</v>
      </c>
      <c r="K216" s="169">
        <v>1987.3</v>
      </c>
      <c r="L216" s="5">
        <f t="shared" si="391"/>
        <v>1987.3</v>
      </c>
      <c r="M216" s="411">
        <f t="shared" ref="M216" si="441">IFERROR(AVERAGE(L216:L217),"")</f>
        <v>1782.62</v>
      </c>
      <c r="N216" s="411">
        <f t="shared" ref="N216" si="442">IFERROR(HARMEAN(L216:L217),"")</f>
        <v>1759.1186915887852</v>
      </c>
      <c r="O216" s="411">
        <f t="shared" ref="O216" si="443">IFERROR(MEDIAN(L216:L217),"")</f>
        <v>1782.62</v>
      </c>
      <c r="P216" s="86">
        <f t="shared" si="382"/>
        <v>1987.3</v>
      </c>
      <c r="Q216" s="413">
        <f t="shared" ref="Q216" si="444">IFERROR(SUM(P216:P217)/COUNTA(K216:K217),"")</f>
        <v>1782.62</v>
      </c>
      <c r="R216" s="411">
        <f t="shared" ref="R216" si="445">IFERROR(_xlfn.STDEV.S(L216:L217),"")</f>
        <v>289.46123194652677</v>
      </c>
      <c r="S216" s="415">
        <f t="shared" ref="S216" si="446">IFERROR(R216/M216,"")</f>
        <v>0.16237966136727222</v>
      </c>
      <c r="T216" s="417" t="s">
        <v>2005</v>
      </c>
      <c r="U216" s="407">
        <f t="shared" si="357"/>
        <v>1782.62</v>
      </c>
      <c r="V216" s="503" t="e" vm="85">
        <v>#VALUE!</v>
      </c>
    </row>
    <row r="217" spans="1:22" ht="45" customHeight="1" x14ac:dyDescent="0.3">
      <c r="A217" s="496"/>
      <c r="B217" s="266"/>
      <c r="C217" s="454"/>
      <c r="D217" s="454"/>
      <c r="E217" s="433"/>
      <c r="F217" s="435"/>
      <c r="G217" s="149">
        <f t="shared" si="422"/>
        <v>1</v>
      </c>
      <c r="H217" s="53" t="s">
        <v>243</v>
      </c>
      <c r="I217" s="22">
        <f t="shared" si="383"/>
        <v>1326</v>
      </c>
      <c r="J217" s="23">
        <f t="shared" si="384"/>
        <v>19.000000000000004</v>
      </c>
      <c r="K217" s="169">
        <v>1577.94</v>
      </c>
      <c r="L217" s="5">
        <f t="shared" si="391"/>
        <v>1577.94</v>
      </c>
      <c r="M217" s="412"/>
      <c r="N217" s="412"/>
      <c r="O217" s="412"/>
      <c r="P217" s="86">
        <f t="shared" si="382"/>
        <v>1577.94</v>
      </c>
      <c r="Q217" s="414"/>
      <c r="R217" s="412"/>
      <c r="S217" s="416"/>
      <c r="T217" s="418"/>
      <c r="U217" s="408">
        <f t="shared" si="357"/>
        <v>0</v>
      </c>
      <c r="V217" s="504"/>
    </row>
    <row r="218" spans="1:22" ht="45" customHeight="1" x14ac:dyDescent="0.3">
      <c r="A218" s="496">
        <v>107</v>
      </c>
      <c r="B218" s="409">
        <v>23140000</v>
      </c>
      <c r="C218" s="453" t="s">
        <v>299</v>
      </c>
      <c r="D218" s="453" t="s">
        <v>300</v>
      </c>
      <c r="E218" s="432" t="s">
        <v>78</v>
      </c>
      <c r="F218" s="434" t="s">
        <v>79</v>
      </c>
      <c r="G218" s="149">
        <f t="shared" si="422"/>
        <v>1</v>
      </c>
      <c r="H218" s="24" t="s">
        <v>206</v>
      </c>
      <c r="I218" s="22">
        <f t="shared" si="383"/>
        <v>1180</v>
      </c>
      <c r="J218" s="23">
        <f t="shared" si="384"/>
        <v>19.000000000000004</v>
      </c>
      <c r="K218" s="169">
        <v>1404.2</v>
      </c>
      <c r="L218" s="5">
        <f t="shared" si="391"/>
        <v>1404.2</v>
      </c>
      <c r="M218" s="411">
        <f t="shared" ref="M218" si="447">IFERROR(AVERAGE(L218:L219),"")</f>
        <v>1491.0700000000002</v>
      </c>
      <c r="N218" s="411">
        <f t="shared" ref="N218" si="448">IFERROR(HARMEAN(L218:L219),"")</f>
        <v>1486.008938547486</v>
      </c>
      <c r="O218" s="411">
        <f t="shared" ref="O218" si="449">IFERROR(MEDIAN(L218:L219),"")</f>
        <v>1491.0700000000002</v>
      </c>
      <c r="P218" s="86">
        <f t="shared" si="382"/>
        <v>1404.2</v>
      </c>
      <c r="Q218" s="413">
        <f t="shared" ref="Q218" si="450">IFERROR(SUM(P218:P219)/COUNTA(K218:K219),"")</f>
        <v>1491.0700000000002</v>
      </c>
      <c r="R218" s="411">
        <f t="shared" ref="R218" si="451">IFERROR(_xlfn.STDEV.S(L218:L219),"")</f>
        <v>122.85273216335077</v>
      </c>
      <c r="S218" s="415">
        <f t="shared" ref="S218" si="452">IFERROR(R218/M218,"")</f>
        <v>8.2392330449509915E-2</v>
      </c>
      <c r="T218" s="417" t="s">
        <v>2005</v>
      </c>
      <c r="U218" s="407">
        <f t="shared" si="357"/>
        <v>1491.0700000000002</v>
      </c>
      <c r="V218" s="503" t="e" vm="85">
        <v>#VALUE!</v>
      </c>
    </row>
    <row r="219" spans="1:22" ht="45" customHeight="1" x14ac:dyDescent="0.3">
      <c r="A219" s="496"/>
      <c r="B219" s="266"/>
      <c r="C219" s="454"/>
      <c r="D219" s="454"/>
      <c r="E219" s="433"/>
      <c r="F219" s="435"/>
      <c r="G219" s="149">
        <f t="shared" si="422"/>
        <v>1</v>
      </c>
      <c r="H219" s="53" t="s">
        <v>243</v>
      </c>
      <c r="I219" s="22">
        <f t="shared" si="383"/>
        <v>1326</v>
      </c>
      <c r="J219" s="23">
        <f t="shared" si="384"/>
        <v>19.000000000000004</v>
      </c>
      <c r="K219" s="169">
        <v>1577.94</v>
      </c>
      <c r="L219" s="5">
        <f t="shared" si="391"/>
        <v>1577.94</v>
      </c>
      <c r="M219" s="412"/>
      <c r="N219" s="412"/>
      <c r="O219" s="412"/>
      <c r="P219" s="86">
        <f t="shared" si="382"/>
        <v>1577.94</v>
      </c>
      <c r="Q219" s="414"/>
      <c r="R219" s="412"/>
      <c r="S219" s="416"/>
      <c r="T219" s="418"/>
      <c r="U219" s="408">
        <f t="shared" si="357"/>
        <v>0</v>
      </c>
      <c r="V219" s="504"/>
    </row>
    <row r="220" spans="1:22" ht="45" customHeight="1" x14ac:dyDescent="0.3">
      <c r="A220" s="496">
        <v>108</v>
      </c>
      <c r="B220" s="409">
        <v>23140000</v>
      </c>
      <c r="C220" s="453" t="s">
        <v>301</v>
      </c>
      <c r="D220" s="453" t="s">
        <v>302</v>
      </c>
      <c r="E220" s="432" t="s">
        <v>78</v>
      </c>
      <c r="F220" s="434" t="s">
        <v>78</v>
      </c>
      <c r="G220" s="149">
        <f t="shared" si="422"/>
        <v>1</v>
      </c>
      <c r="H220" s="24" t="s">
        <v>206</v>
      </c>
      <c r="I220" s="22">
        <f t="shared" si="383"/>
        <v>570</v>
      </c>
      <c r="J220" s="23">
        <f t="shared" si="384"/>
        <v>18.999999999999993</v>
      </c>
      <c r="K220" s="169">
        <v>678.3</v>
      </c>
      <c r="L220" s="5">
        <f t="shared" si="391"/>
        <v>678.3</v>
      </c>
      <c r="M220" s="411">
        <f t="shared" ref="M220" si="453">IFERROR(AVERAGE(L220:L221),"")</f>
        <v>3493.84</v>
      </c>
      <c r="N220" s="411">
        <f t="shared" ref="N220" si="454">IFERROR(HARMEAN(L220:L221),"")</f>
        <v>1224.9136920980925</v>
      </c>
      <c r="O220" s="411">
        <f t="shared" ref="O220" si="455">IFERROR(MEDIAN(L220:L221),"")</f>
        <v>3493.84</v>
      </c>
      <c r="P220" s="86">
        <f t="shared" si="382"/>
        <v>678.3</v>
      </c>
      <c r="Q220" s="413">
        <f t="shared" ref="Q220" si="456">IFERROR(SUM(P220:P221)/COUNTA(K220:K221),"")</f>
        <v>3493.84</v>
      </c>
      <c r="R220" s="411">
        <f t="shared" ref="R220" si="457">IFERROR(_xlfn.STDEV.S(L220:L221),"")</f>
        <v>3981.7748534039442</v>
      </c>
      <c r="S220" s="415">
        <f t="shared" ref="S220" si="458">IFERROR(R220/M220,"")</f>
        <v>1.1396557522393538</v>
      </c>
      <c r="T220" s="417" t="s">
        <v>2005</v>
      </c>
      <c r="U220" s="407">
        <f t="shared" si="357"/>
        <v>3493.84</v>
      </c>
      <c r="V220" s="503" t="e" vm="86">
        <v>#VALUE!</v>
      </c>
    </row>
    <row r="221" spans="1:22" ht="45" customHeight="1" x14ac:dyDescent="0.3">
      <c r="A221" s="496"/>
      <c r="B221" s="266"/>
      <c r="C221" s="454"/>
      <c r="D221" s="454"/>
      <c r="E221" s="433"/>
      <c r="F221" s="435"/>
      <c r="G221" s="149">
        <f t="shared" si="422"/>
        <v>1</v>
      </c>
      <c r="H221" s="53" t="s">
        <v>147</v>
      </c>
      <c r="I221" s="22">
        <f t="shared" si="383"/>
        <v>5302</v>
      </c>
      <c r="J221" s="23">
        <f t="shared" si="384"/>
        <v>19.000000000000004</v>
      </c>
      <c r="K221" s="169">
        <v>6309.38</v>
      </c>
      <c r="L221" s="5">
        <f t="shared" si="391"/>
        <v>6309.38</v>
      </c>
      <c r="M221" s="412"/>
      <c r="N221" s="412"/>
      <c r="O221" s="412"/>
      <c r="P221" s="86">
        <f t="shared" si="382"/>
        <v>6309.38</v>
      </c>
      <c r="Q221" s="414"/>
      <c r="R221" s="412"/>
      <c r="S221" s="416"/>
      <c r="T221" s="418"/>
      <c r="U221" s="408">
        <f t="shared" si="357"/>
        <v>0</v>
      </c>
      <c r="V221" s="504"/>
    </row>
    <row r="222" spans="1:22" ht="45" customHeight="1" x14ac:dyDescent="0.3">
      <c r="A222" s="496">
        <v>109</v>
      </c>
      <c r="B222" s="409">
        <v>23140000</v>
      </c>
      <c r="C222" s="453" t="s">
        <v>303</v>
      </c>
      <c r="D222" s="453" t="s">
        <v>304</v>
      </c>
      <c r="E222" s="432" t="s">
        <v>78</v>
      </c>
      <c r="F222" s="434" t="s">
        <v>79</v>
      </c>
      <c r="G222" s="149">
        <f t="shared" si="422"/>
        <v>1</v>
      </c>
      <c r="H222" s="24" t="s">
        <v>206</v>
      </c>
      <c r="I222" s="22">
        <f t="shared" si="383"/>
        <v>385</v>
      </c>
      <c r="J222" s="23">
        <f t="shared" si="384"/>
        <v>18.999999999999993</v>
      </c>
      <c r="K222" s="169">
        <v>458.15</v>
      </c>
      <c r="L222" s="5">
        <f t="shared" si="391"/>
        <v>458.15</v>
      </c>
      <c r="M222" s="411">
        <f t="shared" ref="M222" si="459">IFERROR(AVERAGE(L222:L223),"")</f>
        <v>3383.7649999999999</v>
      </c>
      <c r="N222" s="411">
        <f t="shared" ref="N222" si="460">IFERROR(HARMEAN(L222:L223),"")</f>
        <v>854.26808510638284</v>
      </c>
      <c r="O222" s="411">
        <f t="shared" ref="O222" si="461">IFERROR(MEDIAN(L222:L223),"")</f>
        <v>3383.7650000000003</v>
      </c>
      <c r="P222" s="86">
        <f t="shared" si="382"/>
        <v>458.15</v>
      </c>
      <c r="Q222" s="413">
        <f t="shared" ref="Q222" si="462">IFERROR(SUM(P222:P223)/COUNTA(K222:K223),"")</f>
        <v>3383.7649999999999</v>
      </c>
      <c r="R222" s="411">
        <f t="shared" ref="R222" si="463">IFERROR(_xlfn.STDEV.S(L222:L223),"")</f>
        <v>4137.4444112821629</v>
      </c>
      <c r="S222" s="415">
        <f t="shared" ref="S222" si="464">IFERROR(R222/M222,"")</f>
        <v>1.2227339697887303</v>
      </c>
      <c r="T222" s="417" t="s">
        <v>2005</v>
      </c>
      <c r="U222" s="407">
        <f t="shared" si="357"/>
        <v>3383.7649999999999</v>
      </c>
      <c r="V222" s="503" t="e" vm="86">
        <v>#VALUE!</v>
      </c>
    </row>
    <row r="223" spans="1:22" ht="45" customHeight="1" x14ac:dyDescent="0.3">
      <c r="A223" s="496"/>
      <c r="B223" s="266"/>
      <c r="C223" s="454"/>
      <c r="D223" s="454"/>
      <c r="E223" s="433"/>
      <c r="F223" s="435"/>
      <c r="G223" s="149">
        <f t="shared" si="422"/>
        <v>1</v>
      </c>
      <c r="H223" s="53" t="s">
        <v>147</v>
      </c>
      <c r="I223" s="22">
        <f t="shared" si="383"/>
        <v>5302</v>
      </c>
      <c r="J223" s="23">
        <f t="shared" si="384"/>
        <v>19.000000000000004</v>
      </c>
      <c r="K223" s="169">
        <v>6309.38</v>
      </c>
      <c r="L223" s="5">
        <f t="shared" si="391"/>
        <v>6309.38</v>
      </c>
      <c r="M223" s="412"/>
      <c r="N223" s="412"/>
      <c r="O223" s="412"/>
      <c r="P223" s="86">
        <f t="shared" si="382"/>
        <v>6309.38</v>
      </c>
      <c r="Q223" s="414"/>
      <c r="R223" s="412"/>
      <c r="S223" s="416"/>
      <c r="T223" s="418"/>
      <c r="U223" s="408">
        <f t="shared" si="357"/>
        <v>0</v>
      </c>
      <c r="V223" s="504"/>
    </row>
    <row r="224" spans="1:22" ht="45" customHeight="1" x14ac:dyDescent="0.3">
      <c r="A224" s="496">
        <v>110</v>
      </c>
      <c r="B224" s="409">
        <v>23140000</v>
      </c>
      <c r="C224" s="453" t="s">
        <v>305</v>
      </c>
      <c r="D224" s="453" t="s">
        <v>306</v>
      </c>
      <c r="E224" s="432" t="s">
        <v>78</v>
      </c>
      <c r="F224" s="434" t="s">
        <v>79</v>
      </c>
      <c r="G224" s="149">
        <f t="shared" si="422"/>
        <v>1</v>
      </c>
      <c r="H224" s="24" t="s">
        <v>206</v>
      </c>
      <c r="I224" s="22">
        <f t="shared" si="383"/>
        <v>385</v>
      </c>
      <c r="J224" s="23">
        <f t="shared" si="384"/>
        <v>18.999999999999993</v>
      </c>
      <c r="K224" s="169">
        <v>458.15</v>
      </c>
      <c r="L224" s="5">
        <f t="shared" si="391"/>
        <v>458.15</v>
      </c>
      <c r="M224" s="411">
        <f t="shared" ref="M224" si="465">IFERROR(AVERAGE(L224:L225),"")</f>
        <v>3383.7649999999999</v>
      </c>
      <c r="N224" s="411">
        <f t="shared" ref="N224" si="466">IFERROR(HARMEAN(L224:L225),"")</f>
        <v>854.26808510638284</v>
      </c>
      <c r="O224" s="411">
        <f t="shared" ref="O224" si="467">IFERROR(MEDIAN(L224:L225),"")</f>
        <v>3383.7650000000003</v>
      </c>
      <c r="P224" s="86">
        <f t="shared" si="382"/>
        <v>458.15</v>
      </c>
      <c r="Q224" s="413">
        <f t="shared" ref="Q224" si="468">IFERROR(SUM(P224:P225)/COUNTA(K224:K225),"")</f>
        <v>3383.7649999999999</v>
      </c>
      <c r="R224" s="411">
        <f t="shared" ref="R224" si="469">IFERROR(_xlfn.STDEV.S(L224:L225),"")</f>
        <v>4137.4444112821629</v>
      </c>
      <c r="S224" s="415">
        <f t="shared" ref="S224" si="470">IFERROR(R224/M224,"")</f>
        <v>1.2227339697887303</v>
      </c>
      <c r="T224" s="417" t="s">
        <v>2005</v>
      </c>
      <c r="U224" s="407">
        <f t="shared" si="357"/>
        <v>3383.7649999999999</v>
      </c>
      <c r="V224" s="503" t="e" vm="86">
        <v>#VALUE!</v>
      </c>
    </row>
    <row r="225" spans="1:22" ht="45" customHeight="1" x14ac:dyDescent="0.3">
      <c r="A225" s="496"/>
      <c r="B225" s="266"/>
      <c r="C225" s="454"/>
      <c r="D225" s="454"/>
      <c r="E225" s="433"/>
      <c r="F225" s="435"/>
      <c r="G225" s="149">
        <f t="shared" ref="G225:G228" si="471">G224</f>
        <v>1</v>
      </c>
      <c r="H225" s="53" t="s">
        <v>147</v>
      </c>
      <c r="I225" s="22">
        <f t="shared" si="383"/>
        <v>5302</v>
      </c>
      <c r="J225" s="23">
        <f t="shared" si="384"/>
        <v>19.000000000000004</v>
      </c>
      <c r="K225" s="169">
        <v>6309.38</v>
      </c>
      <c r="L225" s="5">
        <f t="shared" si="391"/>
        <v>6309.38</v>
      </c>
      <c r="M225" s="412"/>
      <c r="N225" s="412"/>
      <c r="O225" s="412"/>
      <c r="P225" s="86">
        <f t="shared" si="382"/>
        <v>6309.38</v>
      </c>
      <c r="Q225" s="414"/>
      <c r="R225" s="412"/>
      <c r="S225" s="416"/>
      <c r="T225" s="418"/>
      <c r="U225" s="408">
        <f t="shared" si="357"/>
        <v>0</v>
      </c>
      <c r="V225" s="504"/>
    </row>
    <row r="226" spans="1:22" ht="45" customHeight="1" x14ac:dyDescent="0.3">
      <c r="A226" s="496">
        <v>111</v>
      </c>
      <c r="B226" s="409">
        <v>23153030</v>
      </c>
      <c r="C226" s="453" t="s">
        <v>307</v>
      </c>
      <c r="D226" s="453" t="s">
        <v>308</v>
      </c>
      <c r="E226" s="432" t="s">
        <v>78</v>
      </c>
      <c r="F226" s="434" t="s">
        <v>79</v>
      </c>
      <c r="G226" s="149">
        <f t="shared" si="471"/>
        <v>1</v>
      </c>
      <c r="H226" s="24" t="s">
        <v>147</v>
      </c>
      <c r="I226" s="22">
        <f t="shared" si="383"/>
        <v>69878.000000000015</v>
      </c>
      <c r="J226" s="23">
        <f t="shared" si="384"/>
        <v>18.999999999999986</v>
      </c>
      <c r="K226" s="169">
        <v>83154.820000000007</v>
      </c>
      <c r="L226" s="5">
        <f t="shared" si="391"/>
        <v>83154.820000000007</v>
      </c>
      <c r="M226" s="411">
        <f t="shared" ref="M226" si="472">IFERROR(AVERAGE(L226:L227),"")</f>
        <v>140803.18</v>
      </c>
      <c r="N226" s="411">
        <f t="shared" ref="N226" si="473">IFERROR(HARMEAN(L226:L227),"")</f>
        <v>117200.49282567909</v>
      </c>
      <c r="O226" s="411">
        <f t="shared" ref="O226" si="474">IFERROR(MEDIAN(L226:L227),"")</f>
        <v>140803.18</v>
      </c>
      <c r="P226" s="86">
        <f t="shared" si="382"/>
        <v>83154.820000000007</v>
      </c>
      <c r="Q226" s="413">
        <f t="shared" ref="Q226" si="475">IFERROR(SUM(P226:P227)/COUNTA(K226:K227),"")</f>
        <v>140803.18</v>
      </c>
      <c r="R226" s="411">
        <f t="shared" ref="R226" si="476">IFERROR(_xlfn.STDEV.S(L226:L227),"")</f>
        <v>81527.092560566714</v>
      </c>
      <c r="S226" s="415">
        <f t="shared" ref="S226" si="477">IFERROR(R226/M226,"")</f>
        <v>0.57901456885112057</v>
      </c>
      <c r="T226" s="417" t="s">
        <v>2005</v>
      </c>
      <c r="U226" s="407">
        <f t="shared" si="357"/>
        <v>140803.18</v>
      </c>
      <c r="V226" s="503" t="e" vm="87">
        <v>#VALUE!</v>
      </c>
    </row>
    <row r="227" spans="1:22" ht="53.25" customHeight="1" x14ac:dyDescent="0.3">
      <c r="A227" s="496"/>
      <c r="B227" s="266"/>
      <c r="C227" s="454"/>
      <c r="D227" s="454"/>
      <c r="E227" s="433"/>
      <c r="F227" s="435"/>
      <c r="G227" s="149">
        <f t="shared" si="471"/>
        <v>1</v>
      </c>
      <c r="H227" s="53" t="s">
        <v>309</v>
      </c>
      <c r="I227" s="22">
        <f t="shared" si="383"/>
        <v>166766</v>
      </c>
      <c r="J227" s="23">
        <f t="shared" si="384"/>
        <v>19.000000000000007</v>
      </c>
      <c r="K227" s="169">
        <v>198451.54</v>
      </c>
      <c r="L227" s="5">
        <f t="shared" si="391"/>
        <v>198451.54</v>
      </c>
      <c r="M227" s="412"/>
      <c r="N227" s="412"/>
      <c r="O227" s="412"/>
      <c r="P227" s="86">
        <f t="shared" si="382"/>
        <v>198451.54</v>
      </c>
      <c r="Q227" s="414"/>
      <c r="R227" s="412"/>
      <c r="S227" s="416"/>
      <c r="T227" s="418"/>
      <c r="U227" s="408">
        <f t="shared" si="357"/>
        <v>0</v>
      </c>
      <c r="V227" s="504"/>
    </row>
    <row r="228" spans="1:22" ht="45" customHeight="1" x14ac:dyDescent="0.3">
      <c r="A228" s="496">
        <v>112</v>
      </c>
      <c r="B228" s="409">
        <v>23153030</v>
      </c>
      <c r="C228" s="453" t="s">
        <v>310</v>
      </c>
      <c r="D228" s="453" t="s">
        <v>311</v>
      </c>
      <c r="E228" s="432" t="s">
        <v>78</v>
      </c>
      <c r="F228" s="434" t="s">
        <v>79</v>
      </c>
      <c r="G228" s="149">
        <f t="shared" si="471"/>
        <v>1</v>
      </c>
      <c r="H228" s="24" t="s">
        <v>309</v>
      </c>
      <c r="I228" s="22">
        <f t="shared" si="383"/>
        <v>117892.00000000001</v>
      </c>
      <c r="J228" s="23">
        <f t="shared" si="384"/>
        <v>18.999999999999993</v>
      </c>
      <c r="K228" s="169">
        <v>140291.48000000001</v>
      </c>
      <c r="L228" s="5">
        <f t="shared" si="391"/>
        <v>140291.48000000001</v>
      </c>
      <c r="M228" s="411">
        <f t="shared" ref="M228" si="478">IFERROR(AVERAGE(L228:L229),"")</f>
        <v>111166.82500000001</v>
      </c>
      <c r="N228" s="411">
        <f t="shared" ref="N228" si="479">IFERROR(HARMEAN(L228:L229),"")</f>
        <v>103536.44130532288</v>
      </c>
      <c r="O228" s="411">
        <f t="shared" ref="O228" si="480">IFERROR(MEDIAN(L228:L229),"")</f>
        <v>111166.82500000001</v>
      </c>
      <c r="P228" s="86">
        <f t="shared" si="382"/>
        <v>140291.48000000001</v>
      </c>
      <c r="Q228" s="413">
        <f t="shared" ref="Q228" si="481">IFERROR(SUM(P228:P229)/COUNTA(K228:K229),"")</f>
        <v>111166.82500000001</v>
      </c>
      <c r="R228" s="411">
        <f t="shared" ref="R228" si="482">IFERROR(_xlfn.STDEV.S(L228:L229),"")</f>
        <v>41188.482100437359</v>
      </c>
      <c r="S228" s="415">
        <f t="shared" ref="S228" si="483">IFERROR(R228/M228,"")</f>
        <v>0.37051055564857011</v>
      </c>
      <c r="T228" s="417" t="s">
        <v>2005</v>
      </c>
      <c r="U228" s="407">
        <f t="shared" si="357"/>
        <v>111166.82500000001</v>
      </c>
      <c r="V228" s="503" t="e" vm="88">
        <v>#VALUE!</v>
      </c>
    </row>
    <row r="229" spans="1:22" ht="45" customHeight="1" x14ac:dyDescent="0.3">
      <c r="A229" s="496"/>
      <c r="B229" s="266"/>
      <c r="C229" s="454"/>
      <c r="D229" s="454"/>
      <c r="E229" s="433"/>
      <c r="F229" s="435"/>
      <c r="G229" s="149">
        <f t="shared" ref="G229:G238" si="484">G228</f>
        <v>1</v>
      </c>
      <c r="H229" s="53" t="s">
        <v>101</v>
      </c>
      <c r="I229" s="22">
        <f t="shared" si="383"/>
        <v>68943</v>
      </c>
      <c r="J229" s="23">
        <f t="shared" si="384"/>
        <v>18.999999999999996</v>
      </c>
      <c r="K229" s="169">
        <v>82042.17</v>
      </c>
      <c r="L229" s="5">
        <f t="shared" si="391"/>
        <v>82042.17</v>
      </c>
      <c r="M229" s="412"/>
      <c r="N229" s="412"/>
      <c r="O229" s="412"/>
      <c r="P229" s="86">
        <f t="shared" si="382"/>
        <v>82042.17</v>
      </c>
      <c r="Q229" s="414"/>
      <c r="R229" s="412"/>
      <c r="S229" s="416"/>
      <c r="T229" s="418"/>
      <c r="U229" s="408">
        <f t="shared" si="357"/>
        <v>0</v>
      </c>
      <c r="V229" s="504"/>
    </row>
    <row r="230" spans="1:22" ht="45" customHeight="1" x14ac:dyDescent="0.3">
      <c r="A230" s="496">
        <v>113</v>
      </c>
      <c r="B230" s="409">
        <v>23153030</v>
      </c>
      <c r="C230" s="453" t="s">
        <v>312</v>
      </c>
      <c r="D230" s="453" t="s">
        <v>2023</v>
      </c>
      <c r="E230" s="432" t="s">
        <v>78</v>
      </c>
      <c r="F230" s="434" t="s">
        <v>79</v>
      </c>
      <c r="G230" s="149">
        <f t="shared" si="484"/>
        <v>1</v>
      </c>
      <c r="H230" s="24" t="s">
        <v>80</v>
      </c>
      <c r="I230" s="22">
        <f t="shared" si="383"/>
        <v>42016.806722689078</v>
      </c>
      <c r="J230" s="23">
        <f t="shared" si="384"/>
        <v>18.999999999999993</v>
      </c>
      <c r="K230" s="169">
        <v>50000</v>
      </c>
      <c r="L230" s="5">
        <f t="shared" si="391"/>
        <v>50000</v>
      </c>
      <c r="M230" s="411">
        <f t="shared" ref="M230" si="485">IFERROR(AVERAGE(L230:L231),"")</f>
        <v>61150</v>
      </c>
      <c r="N230" s="411">
        <f t="shared" ref="N230" si="486">IFERROR(HARMEAN(L230:L231),"")</f>
        <v>59116.925592804582</v>
      </c>
      <c r="O230" s="411">
        <f t="shared" ref="O230" si="487">IFERROR(MEDIAN(L230:L231),"")</f>
        <v>61150</v>
      </c>
      <c r="P230" s="86">
        <f t="shared" si="382"/>
        <v>50000</v>
      </c>
      <c r="Q230" s="413">
        <f t="shared" ref="Q230" si="488">IFERROR(SUM(P230:P231)/COUNTA(K230:K231),"")</f>
        <v>61150</v>
      </c>
      <c r="R230" s="411">
        <f t="shared" ref="R230" si="489">IFERROR(_xlfn.STDEV.S(L230:L231),"")</f>
        <v>15768.481220460009</v>
      </c>
      <c r="S230" s="415">
        <f t="shared" ref="S230" si="490">IFERROR(R230/M230,"")</f>
        <v>0.2578655964098121</v>
      </c>
      <c r="T230" s="417" t="s">
        <v>2005</v>
      </c>
      <c r="U230" s="407">
        <f t="shared" si="357"/>
        <v>61150</v>
      </c>
      <c r="V230" s="503"/>
    </row>
    <row r="231" spans="1:22" ht="63.75" customHeight="1" x14ac:dyDescent="0.3">
      <c r="A231" s="496"/>
      <c r="B231" s="266"/>
      <c r="C231" s="454"/>
      <c r="D231" s="454"/>
      <c r="E231" s="433"/>
      <c r="F231" s="435"/>
      <c r="G231" s="149">
        <f t="shared" si="484"/>
        <v>1</v>
      </c>
      <c r="H231" s="53" t="s">
        <v>313</v>
      </c>
      <c r="I231" s="22">
        <f t="shared" si="383"/>
        <v>60756.302521008409</v>
      </c>
      <c r="J231" s="23">
        <f t="shared" si="384"/>
        <v>18.999999999999989</v>
      </c>
      <c r="K231" s="169">
        <v>72300</v>
      </c>
      <c r="L231" s="5">
        <f t="shared" si="391"/>
        <v>72300</v>
      </c>
      <c r="M231" s="412"/>
      <c r="N231" s="412"/>
      <c r="O231" s="412"/>
      <c r="P231" s="86">
        <f t="shared" si="382"/>
        <v>72300</v>
      </c>
      <c r="Q231" s="414"/>
      <c r="R231" s="412"/>
      <c r="S231" s="416"/>
      <c r="T231" s="418"/>
      <c r="U231" s="408">
        <f t="shared" si="357"/>
        <v>0</v>
      </c>
      <c r="V231" s="504"/>
    </row>
    <row r="232" spans="1:22" ht="45" customHeight="1" x14ac:dyDescent="0.3">
      <c r="A232" s="496">
        <v>114</v>
      </c>
      <c r="B232" s="409">
        <v>23153030</v>
      </c>
      <c r="C232" s="453" t="s">
        <v>314</v>
      </c>
      <c r="D232" s="453" t="s">
        <v>315</v>
      </c>
      <c r="E232" s="432" t="s">
        <v>78</v>
      </c>
      <c r="F232" s="434" t="s">
        <v>79</v>
      </c>
      <c r="G232" s="149">
        <f t="shared" si="484"/>
        <v>1</v>
      </c>
      <c r="H232" s="24" t="s">
        <v>309</v>
      </c>
      <c r="I232" s="22">
        <f t="shared" si="383"/>
        <v>118964.00000000001</v>
      </c>
      <c r="J232" s="23">
        <f t="shared" si="384"/>
        <v>18.999999999999989</v>
      </c>
      <c r="K232" s="169">
        <v>141567.16</v>
      </c>
      <c r="L232" s="5">
        <f t="shared" si="391"/>
        <v>141567.16</v>
      </c>
      <c r="M232" s="411">
        <f t="shared" ref="M232" si="491">IFERROR(AVERAGE(L232:L233),"")</f>
        <v>133996.97500000001</v>
      </c>
      <c r="N232" s="411">
        <f t="shared" ref="N232" si="492">IFERROR(HARMEAN(L232:L233),"")</f>
        <v>133569.29593534779</v>
      </c>
      <c r="O232" s="411">
        <f t="shared" ref="O232" si="493">IFERROR(MEDIAN(L232:L233),"")</f>
        <v>133996.97500000001</v>
      </c>
      <c r="P232" s="86">
        <f t="shared" si="382"/>
        <v>141567.16</v>
      </c>
      <c r="Q232" s="413">
        <f t="shared" ref="Q232" si="494">IFERROR(SUM(P232:P233)/COUNTA(K232:K233),"")</f>
        <v>133996.97500000001</v>
      </c>
      <c r="R232" s="411">
        <f t="shared" ref="R232" si="495">IFERROR(_xlfn.STDEV.S(L232:L233),"")</f>
        <v>10705.858296673365</v>
      </c>
      <c r="S232" s="415">
        <f t="shared" ref="S232" si="496">IFERROR(R232/M232,"")</f>
        <v>7.9896268528997491E-2</v>
      </c>
      <c r="T232" s="417" t="s">
        <v>2005</v>
      </c>
      <c r="U232" s="407">
        <f t="shared" si="357"/>
        <v>133996.97500000001</v>
      </c>
      <c r="V232" s="503" t="e" vm="89">
        <v>#VALUE!</v>
      </c>
    </row>
    <row r="233" spans="1:22" ht="45" customHeight="1" x14ac:dyDescent="0.3">
      <c r="A233" s="496"/>
      <c r="B233" s="266"/>
      <c r="C233" s="454"/>
      <c r="D233" s="454"/>
      <c r="E233" s="433"/>
      <c r="F233" s="435"/>
      <c r="G233" s="149">
        <f t="shared" si="484"/>
        <v>1</v>
      </c>
      <c r="H233" s="53" t="s">
        <v>147</v>
      </c>
      <c r="I233" s="22">
        <f t="shared" si="383"/>
        <v>106241.00000000001</v>
      </c>
      <c r="J233" s="23">
        <f t="shared" si="384"/>
        <v>18.999999999999993</v>
      </c>
      <c r="K233" s="169">
        <v>126426.79000000001</v>
      </c>
      <c r="L233" s="5">
        <f t="shared" si="391"/>
        <v>126426.79000000001</v>
      </c>
      <c r="M233" s="412"/>
      <c r="N233" s="412"/>
      <c r="O233" s="412"/>
      <c r="P233" s="86">
        <f t="shared" si="382"/>
        <v>126426.79000000001</v>
      </c>
      <c r="Q233" s="414"/>
      <c r="R233" s="412"/>
      <c r="S233" s="416"/>
      <c r="T233" s="418"/>
      <c r="U233" s="408">
        <f t="shared" si="357"/>
        <v>0</v>
      </c>
      <c r="V233" s="504"/>
    </row>
    <row r="234" spans="1:22" ht="45" customHeight="1" x14ac:dyDescent="0.3">
      <c r="A234" s="496">
        <v>115</v>
      </c>
      <c r="B234" s="409">
        <v>23153030</v>
      </c>
      <c r="C234" s="453" t="s">
        <v>316</v>
      </c>
      <c r="D234" s="453" t="s">
        <v>317</v>
      </c>
      <c r="E234" s="432" t="s">
        <v>78</v>
      </c>
      <c r="F234" s="434" t="s">
        <v>79</v>
      </c>
      <c r="G234" s="149">
        <f t="shared" si="484"/>
        <v>1</v>
      </c>
      <c r="H234" s="24" t="s">
        <v>318</v>
      </c>
      <c r="I234" s="22">
        <f t="shared" si="383"/>
        <v>91104</v>
      </c>
      <c r="J234" s="23">
        <f t="shared" si="384"/>
        <v>18.999999999999993</v>
      </c>
      <c r="K234" s="169">
        <v>108413.75999999999</v>
      </c>
      <c r="L234" s="5">
        <f t="shared" si="391"/>
        <v>108413.75999999999</v>
      </c>
      <c r="M234" s="411">
        <f t="shared" ref="M234" si="497">IFERROR(AVERAGE(L234:L235),"")</f>
        <v>94863.23</v>
      </c>
      <c r="N234" s="411">
        <f t="shared" ref="N234" si="498">IFERROR(HARMEAN(L234:L235),"")</f>
        <v>92927.634266216744</v>
      </c>
      <c r="O234" s="411">
        <f t="shared" ref="O234" si="499">IFERROR(MEDIAN(L234:L235),"")</f>
        <v>94863.23</v>
      </c>
      <c r="P234" s="86">
        <f t="shared" si="382"/>
        <v>108413.75999999999</v>
      </c>
      <c r="Q234" s="413">
        <f t="shared" ref="Q234" si="500">IFERROR(SUM(P234:P235)/COUNTA(K234:K235),"")</f>
        <v>94863.23</v>
      </c>
      <c r="R234" s="411">
        <f t="shared" ref="R234" si="501">IFERROR(_xlfn.STDEV.S(L234:L235),"")</f>
        <v>19163.343303343445</v>
      </c>
      <c r="S234" s="415">
        <f t="shared" ref="S234" si="502">IFERROR(R234/M234,"")</f>
        <v>0.20201023413754143</v>
      </c>
      <c r="T234" s="417" t="s">
        <v>2005</v>
      </c>
      <c r="U234" s="407">
        <f t="shared" si="357"/>
        <v>94863.23</v>
      </c>
      <c r="V234" s="503" t="e" vm="90">
        <v>#VALUE!</v>
      </c>
    </row>
    <row r="235" spans="1:22" ht="45" customHeight="1" x14ac:dyDescent="0.3">
      <c r="A235" s="496"/>
      <c r="B235" s="266"/>
      <c r="C235" s="454"/>
      <c r="D235" s="454"/>
      <c r="E235" s="433"/>
      <c r="F235" s="435"/>
      <c r="G235" s="149">
        <f t="shared" si="484"/>
        <v>1</v>
      </c>
      <c r="H235" s="53" t="s">
        <v>319</v>
      </c>
      <c r="I235" s="22">
        <f t="shared" si="383"/>
        <v>68330</v>
      </c>
      <c r="J235" s="23">
        <f t="shared" si="384"/>
        <v>18.999999999999993</v>
      </c>
      <c r="K235" s="169">
        <v>81312.7</v>
      </c>
      <c r="L235" s="5">
        <f t="shared" si="391"/>
        <v>81312.7</v>
      </c>
      <c r="M235" s="412"/>
      <c r="N235" s="412"/>
      <c r="O235" s="412"/>
      <c r="P235" s="86">
        <f t="shared" si="382"/>
        <v>81312.7</v>
      </c>
      <c r="Q235" s="414"/>
      <c r="R235" s="412"/>
      <c r="S235" s="416"/>
      <c r="T235" s="418"/>
      <c r="U235" s="408">
        <f t="shared" si="357"/>
        <v>0</v>
      </c>
      <c r="V235" s="504"/>
    </row>
    <row r="236" spans="1:22" ht="45" customHeight="1" x14ac:dyDescent="0.3">
      <c r="A236" s="496">
        <v>116</v>
      </c>
      <c r="B236" s="409">
        <v>23153030</v>
      </c>
      <c r="C236" s="453" t="s">
        <v>320</v>
      </c>
      <c r="D236" s="453" t="s">
        <v>321</v>
      </c>
      <c r="E236" s="432" t="s">
        <v>78</v>
      </c>
      <c r="F236" s="434" t="s">
        <v>79</v>
      </c>
      <c r="G236" s="149">
        <f t="shared" si="484"/>
        <v>1</v>
      </c>
      <c r="H236" s="24" t="s">
        <v>147</v>
      </c>
      <c r="I236" s="22">
        <f t="shared" si="383"/>
        <v>43761</v>
      </c>
      <c r="J236" s="23">
        <f t="shared" si="384"/>
        <v>18.999999999999993</v>
      </c>
      <c r="K236" s="169">
        <v>52075.59</v>
      </c>
      <c r="L236" s="5">
        <f t="shared" si="391"/>
        <v>52075.59</v>
      </c>
      <c r="M236" s="411">
        <f t="shared" ref="M236" si="503">IFERROR(AVERAGE(L236:L237),"")</f>
        <v>40996.095000000001</v>
      </c>
      <c r="N236" s="411">
        <f t="shared" ref="N236" si="504">IFERROR(HARMEAN(L236:L237),"")</f>
        <v>38001.780310880822</v>
      </c>
      <c r="O236" s="411">
        <f t="shared" ref="O236" si="505">IFERROR(MEDIAN(L236:L237),"")</f>
        <v>40996.095000000001</v>
      </c>
      <c r="P236" s="86">
        <f t="shared" si="382"/>
        <v>52075.59</v>
      </c>
      <c r="Q236" s="413">
        <f t="shared" ref="Q236" si="506">IFERROR(SUM(P236:P237)/COUNTA(K236:K237),"")</f>
        <v>40996.095000000001</v>
      </c>
      <c r="R236" s="411">
        <f t="shared" ref="R236" si="507">IFERROR(_xlfn.STDEV.S(L236:L237),"")</f>
        <v>15668.772093244877</v>
      </c>
      <c r="S236" s="415">
        <f t="shared" ref="S236" si="508">IFERROR(R236/M236,"")</f>
        <v>0.38220157537552973</v>
      </c>
      <c r="T236" s="417" t="s">
        <v>2005</v>
      </c>
      <c r="U236" s="407">
        <f t="shared" si="357"/>
        <v>40996.095000000001</v>
      </c>
      <c r="V236" s="503" t="e" vm="91">
        <v>#VALUE!</v>
      </c>
    </row>
    <row r="237" spans="1:22" ht="45" customHeight="1" x14ac:dyDescent="0.3">
      <c r="A237" s="496"/>
      <c r="B237" s="266"/>
      <c r="C237" s="523"/>
      <c r="D237" s="454"/>
      <c r="E237" s="433"/>
      <c r="F237" s="435"/>
      <c r="G237" s="149">
        <f t="shared" si="484"/>
        <v>1</v>
      </c>
      <c r="H237" s="53" t="s">
        <v>198</v>
      </c>
      <c r="I237" s="22">
        <f t="shared" si="383"/>
        <v>25140</v>
      </c>
      <c r="J237" s="23">
        <f t="shared" si="384"/>
        <v>18.999999999999993</v>
      </c>
      <c r="K237" s="169">
        <v>29916.6</v>
      </c>
      <c r="L237" s="5">
        <f t="shared" si="391"/>
        <v>29916.6</v>
      </c>
      <c r="M237" s="412"/>
      <c r="N237" s="412"/>
      <c r="O237" s="412"/>
      <c r="P237" s="86">
        <f t="shared" si="382"/>
        <v>29916.6</v>
      </c>
      <c r="Q237" s="414"/>
      <c r="R237" s="412"/>
      <c r="S237" s="416"/>
      <c r="T237" s="418"/>
      <c r="U237" s="408">
        <f t="shared" si="357"/>
        <v>0</v>
      </c>
      <c r="V237" s="504"/>
    </row>
    <row r="238" spans="1:22" ht="45" customHeight="1" x14ac:dyDescent="0.3">
      <c r="A238" s="496">
        <v>117</v>
      </c>
      <c r="B238" s="409">
        <v>23150000</v>
      </c>
      <c r="C238" s="454" t="s">
        <v>322</v>
      </c>
      <c r="D238" s="453" t="s">
        <v>323</v>
      </c>
      <c r="E238" s="432" t="s">
        <v>78</v>
      </c>
      <c r="F238" s="434" t="s">
        <v>79</v>
      </c>
      <c r="G238" s="149">
        <f t="shared" si="484"/>
        <v>1</v>
      </c>
      <c r="H238" s="24" t="s">
        <v>324</v>
      </c>
      <c r="I238" s="22">
        <f t="shared" si="383"/>
        <v>101437</v>
      </c>
      <c r="J238" s="23">
        <f t="shared" si="384"/>
        <v>19</v>
      </c>
      <c r="K238" s="169">
        <v>120710.03</v>
      </c>
      <c r="L238" s="5">
        <f t="shared" si="391"/>
        <v>120710.03</v>
      </c>
      <c r="M238" s="411">
        <f t="shared" ref="M238" si="509">IFERROR(AVERAGE(L238:L239),"")</f>
        <v>104742.015</v>
      </c>
      <c r="N238" s="411">
        <f t="shared" ref="N238" si="510">IFERROR(HARMEAN(L238:L239),"")</f>
        <v>102307.67665888421</v>
      </c>
      <c r="O238" s="411">
        <f t="shared" ref="O238" si="511">IFERROR(MEDIAN(L238:L239),"")</f>
        <v>104742.015</v>
      </c>
      <c r="P238" s="86">
        <f t="shared" si="382"/>
        <v>120710.03</v>
      </c>
      <c r="Q238" s="413">
        <f t="shared" ref="Q238" si="512">IFERROR(SUM(P238:P239)/COUNTA(K238:K239),"")</f>
        <v>104742.015</v>
      </c>
      <c r="R238" s="411">
        <f t="shared" ref="R238" si="513">IFERROR(_xlfn.STDEV.S(L238:L239),"")</f>
        <v>22582.183377176978</v>
      </c>
      <c r="S238" s="415">
        <f t="shared" ref="S238" si="514">IFERROR(R238/M238,"")</f>
        <v>0.21559813774039938</v>
      </c>
      <c r="T238" s="417" t="s">
        <v>2005</v>
      </c>
      <c r="U238" s="407">
        <f t="shared" si="357"/>
        <v>104742.015</v>
      </c>
      <c r="V238" s="503" t="e" vm="92">
        <v>#VALUE!</v>
      </c>
    </row>
    <row r="239" spans="1:22" ht="45" customHeight="1" x14ac:dyDescent="0.3">
      <c r="A239" s="496"/>
      <c r="B239" s="266"/>
      <c r="C239" s="454"/>
      <c r="D239" s="454"/>
      <c r="E239" s="433"/>
      <c r="F239" s="435"/>
      <c r="G239" s="149">
        <f t="shared" ref="G239:G302" si="515">G238</f>
        <v>1</v>
      </c>
      <c r="H239" s="53" t="s">
        <v>325</v>
      </c>
      <c r="I239" s="22">
        <f t="shared" si="383"/>
        <v>74600</v>
      </c>
      <c r="J239" s="23">
        <f t="shared" si="384"/>
        <v>19</v>
      </c>
      <c r="K239" s="169">
        <v>88774</v>
      </c>
      <c r="L239" s="5">
        <f t="shared" si="391"/>
        <v>88774</v>
      </c>
      <c r="M239" s="412"/>
      <c r="N239" s="412"/>
      <c r="O239" s="412"/>
      <c r="P239" s="86">
        <f t="shared" si="382"/>
        <v>88774</v>
      </c>
      <c r="Q239" s="414"/>
      <c r="R239" s="412"/>
      <c r="S239" s="416"/>
      <c r="T239" s="418"/>
      <c r="U239" s="408">
        <f t="shared" si="357"/>
        <v>0</v>
      </c>
      <c r="V239" s="504"/>
    </row>
    <row r="240" spans="1:22" ht="45" customHeight="1" x14ac:dyDescent="0.3">
      <c r="A240" s="496">
        <v>118</v>
      </c>
      <c r="B240" s="409">
        <v>23150000</v>
      </c>
      <c r="C240" s="453" t="s">
        <v>326</v>
      </c>
      <c r="D240" s="453" t="s">
        <v>327</v>
      </c>
      <c r="E240" s="432" t="s">
        <v>78</v>
      </c>
      <c r="F240" s="434" t="s">
        <v>79</v>
      </c>
      <c r="G240" s="149">
        <f t="shared" si="515"/>
        <v>1</v>
      </c>
      <c r="H240" s="24" t="s">
        <v>147</v>
      </c>
      <c r="I240" s="22">
        <f t="shared" si="383"/>
        <v>115290.00000000001</v>
      </c>
      <c r="J240" s="23">
        <f t="shared" si="384"/>
        <v>18.999999999999989</v>
      </c>
      <c r="K240" s="169">
        <v>137195.1</v>
      </c>
      <c r="L240" s="5">
        <f t="shared" si="391"/>
        <v>137195.1</v>
      </c>
      <c r="M240" s="411">
        <f t="shared" ref="M240" si="516">IFERROR(AVERAGE(L240:L241),"")</f>
        <v>163404.85</v>
      </c>
      <c r="N240" s="411">
        <f t="shared" ref="N240" si="517">IFERROR(HARMEAN(L240:L241),"")</f>
        <v>159200.86832465499</v>
      </c>
      <c r="O240" s="411">
        <f t="shared" ref="O240" si="518">IFERROR(MEDIAN(L240:L241),"")</f>
        <v>163404.85</v>
      </c>
      <c r="P240" s="86">
        <f t="shared" si="382"/>
        <v>137195.1</v>
      </c>
      <c r="Q240" s="413">
        <f t="shared" ref="Q240" si="519">IFERROR(SUM(P240:P241)/COUNTA(K240:K241),"")</f>
        <v>163404.85</v>
      </c>
      <c r="R240" s="411">
        <f t="shared" ref="R240" si="520">IFERROR(_xlfn.STDEV.S(L240:L241),"")</f>
        <v>37066.183916408227</v>
      </c>
      <c r="S240" s="415">
        <f t="shared" ref="S240" si="521">IFERROR(R240/M240,"")</f>
        <v>0.22683649791550389</v>
      </c>
      <c r="T240" s="417" t="s">
        <v>2005</v>
      </c>
      <c r="U240" s="407">
        <f t="shared" si="357"/>
        <v>163404.85</v>
      </c>
      <c r="V240" s="503" t="e" vm="93">
        <v>#VALUE!</v>
      </c>
    </row>
    <row r="241" spans="1:22" ht="45" customHeight="1" x14ac:dyDescent="0.3">
      <c r="A241" s="496"/>
      <c r="B241" s="266"/>
      <c r="C241" s="454"/>
      <c r="D241" s="454"/>
      <c r="E241" s="433"/>
      <c r="F241" s="435"/>
      <c r="G241" s="149">
        <f t="shared" si="515"/>
        <v>1</v>
      </c>
      <c r="H241" s="53" t="s">
        <v>198</v>
      </c>
      <c r="I241" s="22">
        <f t="shared" si="383"/>
        <v>159340</v>
      </c>
      <c r="J241" s="23">
        <f t="shared" si="384"/>
        <v>19.000000000000004</v>
      </c>
      <c r="K241" s="169">
        <v>189614.6</v>
      </c>
      <c r="L241" s="5">
        <f t="shared" si="391"/>
        <v>189614.6</v>
      </c>
      <c r="M241" s="412"/>
      <c r="N241" s="412"/>
      <c r="O241" s="412"/>
      <c r="P241" s="86">
        <f t="shared" si="382"/>
        <v>189614.6</v>
      </c>
      <c r="Q241" s="414"/>
      <c r="R241" s="412"/>
      <c r="S241" s="416"/>
      <c r="T241" s="418"/>
      <c r="U241" s="408">
        <f t="shared" si="357"/>
        <v>0</v>
      </c>
      <c r="V241" s="504"/>
    </row>
    <row r="242" spans="1:22" ht="45" customHeight="1" x14ac:dyDescent="0.3">
      <c r="A242" s="496">
        <v>119</v>
      </c>
      <c r="B242" s="409">
        <v>23150000</v>
      </c>
      <c r="C242" s="453" t="s">
        <v>328</v>
      </c>
      <c r="D242" s="453" t="s">
        <v>329</v>
      </c>
      <c r="E242" s="432" t="s">
        <v>78</v>
      </c>
      <c r="F242" s="434" t="s">
        <v>79</v>
      </c>
      <c r="G242" s="149">
        <f t="shared" si="515"/>
        <v>1</v>
      </c>
      <c r="H242" s="24" t="s">
        <v>147</v>
      </c>
      <c r="I242" s="22">
        <f t="shared" si="383"/>
        <v>43516</v>
      </c>
      <c r="J242" s="23">
        <f t="shared" si="384"/>
        <v>19.000000000000004</v>
      </c>
      <c r="K242" s="169">
        <v>51784.04</v>
      </c>
      <c r="L242" s="5">
        <f t="shared" si="391"/>
        <v>51784.04</v>
      </c>
      <c r="M242" s="411">
        <f>IFERROR(AVERAGE(L242:L243),"")</f>
        <v>42209.3</v>
      </c>
      <c r="N242" s="411">
        <f>IFERROR(HARMEAN(L242:L243),"")</f>
        <v>40037.369973498731</v>
      </c>
      <c r="O242" s="411">
        <f>IFERROR(MEDIAN(L242:L243),"")</f>
        <v>42209.3</v>
      </c>
      <c r="P242" s="86">
        <f t="shared" si="382"/>
        <v>51784.04</v>
      </c>
      <c r="Q242" s="413">
        <f>IFERROR(SUM(P242:P243)/COUNTA(K242:K243),"")</f>
        <v>42209.3</v>
      </c>
      <c r="R242" s="411">
        <f>IFERROR(_xlfn.STDEV.S(L242:L243),"")</f>
        <v>13540.727164196151</v>
      </c>
      <c r="S242" s="415">
        <f t="shared" ref="S242" si="522">IFERROR(R242/M242,"")</f>
        <v>0.320799614402422</v>
      </c>
      <c r="T242" s="417" t="s">
        <v>2005</v>
      </c>
      <c r="U242" s="407">
        <f t="shared" si="357"/>
        <v>42209.3</v>
      </c>
      <c r="V242" s="503" t="e" vm="94">
        <v>#VALUE!</v>
      </c>
    </row>
    <row r="243" spans="1:22" ht="45" customHeight="1" x14ac:dyDescent="0.3">
      <c r="A243" s="496"/>
      <c r="B243" s="266"/>
      <c r="C243" s="454"/>
      <c r="D243" s="454"/>
      <c r="E243" s="433"/>
      <c r="F243" s="435"/>
      <c r="G243" s="149">
        <f t="shared" si="515"/>
        <v>1</v>
      </c>
      <c r="H243" s="24" t="s">
        <v>198</v>
      </c>
      <c r="I243" s="22">
        <f t="shared" si="383"/>
        <v>27424.000000000004</v>
      </c>
      <c r="J243" s="23">
        <f t="shared" si="384"/>
        <v>18.999999999999989</v>
      </c>
      <c r="K243" s="169">
        <v>32634.560000000001</v>
      </c>
      <c r="L243" s="5">
        <f t="shared" si="391"/>
        <v>32634.560000000001</v>
      </c>
      <c r="M243" s="412"/>
      <c r="N243" s="412"/>
      <c r="O243" s="412"/>
      <c r="P243" s="86">
        <f t="shared" si="382"/>
        <v>32634.560000000001</v>
      </c>
      <c r="Q243" s="414"/>
      <c r="R243" s="412"/>
      <c r="S243" s="416"/>
      <c r="T243" s="418"/>
      <c r="U243" s="408"/>
      <c r="V243" s="504"/>
    </row>
    <row r="244" spans="1:22" ht="45" customHeight="1" x14ac:dyDescent="0.3">
      <c r="A244" s="496">
        <v>120</v>
      </c>
      <c r="B244" s="409">
        <v>23150000</v>
      </c>
      <c r="C244" s="453" t="s">
        <v>330</v>
      </c>
      <c r="D244" s="453" t="s">
        <v>331</v>
      </c>
      <c r="E244" s="432" t="s">
        <v>78</v>
      </c>
      <c r="F244" s="434" t="s">
        <v>79</v>
      </c>
      <c r="G244" s="149">
        <f t="shared" si="515"/>
        <v>1</v>
      </c>
      <c r="H244" s="24" t="s">
        <v>147</v>
      </c>
      <c r="I244" s="22">
        <f t="shared" si="383"/>
        <v>43465</v>
      </c>
      <c r="J244" s="23">
        <f t="shared" si="384"/>
        <v>18.999999999999996</v>
      </c>
      <c r="K244" s="169">
        <v>51723.35</v>
      </c>
      <c r="L244" s="5">
        <f t="shared" si="391"/>
        <v>51723.35</v>
      </c>
      <c r="M244" s="411">
        <f t="shared" ref="M244" si="523">IFERROR(AVERAGE(L244:L245),"")</f>
        <v>46258.869999999995</v>
      </c>
      <c r="N244" s="411">
        <f t="shared" ref="N244" si="524">IFERROR(HARMEAN(L244:L245),"")</f>
        <v>45613.360464847065</v>
      </c>
      <c r="O244" s="411">
        <f t="shared" ref="O244" si="525">IFERROR(MEDIAN(L244:L245),"")</f>
        <v>46258.869999999995</v>
      </c>
      <c r="P244" s="86">
        <f t="shared" si="382"/>
        <v>51723.35</v>
      </c>
      <c r="Q244" s="413">
        <f t="shared" ref="Q244" si="526">IFERROR(SUM(P244:P245)/COUNTA(K244:K245),"")</f>
        <v>46258.869999999995</v>
      </c>
      <c r="R244" s="411">
        <f t="shared" ref="R244" si="527">IFERROR(_xlfn.STDEV.S(L244:L245),"")</f>
        <v>7727.94172731658</v>
      </c>
      <c r="S244" s="415">
        <f t="shared" ref="S244" si="528">IFERROR(R244/M244,"")</f>
        <v>0.16705859281293686</v>
      </c>
      <c r="T244" s="417" t="s">
        <v>2005</v>
      </c>
      <c r="U244" s="407">
        <f t="shared" si="357"/>
        <v>46258.869999999995</v>
      </c>
      <c r="V244" s="503" t="e" vm="95">
        <v>#VALUE!</v>
      </c>
    </row>
    <row r="245" spans="1:22" ht="45" customHeight="1" x14ac:dyDescent="0.3">
      <c r="A245" s="496"/>
      <c r="B245" s="266"/>
      <c r="C245" s="454"/>
      <c r="D245" s="454"/>
      <c r="E245" s="433"/>
      <c r="F245" s="435"/>
      <c r="G245" s="149">
        <f t="shared" si="515"/>
        <v>1</v>
      </c>
      <c r="H245" s="53" t="s">
        <v>198</v>
      </c>
      <c r="I245" s="22">
        <f t="shared" si="383"/>
        <v>34281</v>
      </c>
      <c r="J245" s="23">
        <f t="shared" si="384"/>
        <v>18.999999999999996</v>
      </c>
      <c r="K245" s="169">
        <v>40794.39</v>
      </c>
      <c r="L245" s="5">
        <f t="shared" si="391"/>
        <v>40794.39</v>
      </c>
      <c r="M245" s="412"/>
      <c r="N245" s="412"/>
      <c r="O245" s="412"/>
      <c r="P245" s="86">
        <f t="shared" si="382"/>
        <v>40794.39</v>
      </c>
      <c r="Q245" s="414"/>
      <c r="R245" s="412"/>
      <c r="S245" s="416"/>
      <c r="T245" s="418"/>
      <c r="U245" s="408">
        <f t="shared" si="357"/>
        <v>0</v>
      </c>
      <c r="V245" s="504"/>
    </row>
    <row r="246" spans="1:22" ht="45" customHeight="1" x14ac:dyDescent="0.3">
      <c r="A246" s="496">
        <v>121</v>
      </c>
      <c r="B246" s="409">
        <v>23150000</v>
      </c>
      <c r="C246" s="453" t="s">
        <v>332</v>
      </c>
      <c r="D246" s="453" t="s">
        <v>333</v>
      </c>
      <c r="E246" s="432" t="s">
        <v>78</v>
      </c>
      <c r="F246" s="434" t="s">
        <v>79</v>
      </c>
      <c r="G246" s="149">
        <f t="shared" si="515"/>
        <v>1</v>
      </c>
      <c r="H246" s="24" t="s">
        <v>324</v>
      </c>
      <c r="I246" s="22">
        <f t="shared" si="383"/>
        <v>118290.00000000001</v>
      </c>
      <c r="J246" s="23">
        <f t="shared" si="384"/>
        <v>18.999999999999989</v>
      </c>
      <c r="K246" s="169">
        <v>140765.1</v>
      </c>
      <c r="L246" s="5">
        <f t="shared" si="391"/>
        <v>140765.1</v>
      </c>
      <c r="M246" s="411">
        <f t="shared" ref="M246" si="529">IFERROR(AVERAGE(L246:L247),"")</f>
        <v>113207.08</v>
      </c>
      <c r="N246" s="411">
        <f t="shared" ref="N246" si="530">IFERROR(HARMEAN(L246:L247),"")</f>
        <v>106498.62619728377</v>
      </c>
      <c r="O246" s="411">
        <f t="shared" ref="O246" si="531">IFERROR(MEDIAN(L246:L247),"")</f>
        <v>113207.08</v>
      </c>
      <c r="P246" s="86">
        <f t="shared" si="382"/>
        <v>140765.1</v>
      </c>
      <c r="Q246" s="413">
        <f t="shared" ref="Q246" si="532">IFERROR(SUM(P246:P247)/COUNTA(K246:K247),"")</f>
        <v>113207.08</v>
      </c>
      <c r="R246" s="411">
        <f t="shared" ref="R246" si="533">IFERROR(_xlfn.STDEV.S(L246:L247),"")</f>
        <v>38972.925636149004</v>
      </c>
      <c r="S246" s="415">
        <f t="shared" ref="S246" si="534">IFERROR(R246/M246,"")</f>
        <v>0.34426226377492469</v>
      </c>
      <c r="T246" s="417" t="s">
        <v>2005</v>
      </c>
      <c r="U246" s="407">
        <f t="shared" si="357"/>
        <v>113207.08</v>
      </c>
      <c r="V246" s="503" t="e" vm="96">
        <v>#VALUE!</v>
      </c>
    </row>
    <row r="247" spans="1:22" ht="45" customHeight="1" x14ac:dyDescent="0.3">
      <c r="A247" s="496"/>
      <c r="B247" s="266"/>
      <c r="C247" s="454"/>
      <c r="D247" s="454"/>
      <c r="E247" s="433"/>
      <c r="F247" s="435"/>
      <c r="G247" s="149">
        <f t="shared" si="515"/>
        <v>1</v>
      </c>
      <c r="H247" s="53" t="s">
        <v>334</v>
      </c>
      <c r="I247" s="22">
        <f t="shared" si="383"/>
        <v>71974</v>
      </c>
      <c r="J247" s="23">
        <f t="shared" si="384"/>
        <v>18.999999999999996</v>
      </c>
      <c r="K247" s="169">
        <v>85649.06</v>
      </c>
      <c r="L247" s="5">
        <f t="shared" si="391"/>
        <v>85649.06</v>
      </c>
      <c r="M247" s="412"/>
      <c r="N247" s="412"/>
      <c r="O247" s="412"/>
      <c r="P247" s="86">
        <f t="shared" si="382"/>
        <v>85649.06</v>
      </c>
      <c r="Q247" s="414"/>
      <c r="R247" s="412"/>
      <c r="S247" s="416"/>
      <c r="T247" s="418"/>
      <c r="U247" s="408">
        <f t="shared" si="357"/>
        <v>0</v>
      </c>
      <c r="V247" s="504"/>
    </row>
    <row r="248" spans="1:22" ht="45" customHeight="1" x14ac:dyDescent="0.3">
      <c r="A248" s="496">
        <v>122</v>
      </c>
      <c r="B248" s="409">
        <v>23150000</v>
      </c>
      <c r="C248" s="453" t="s">
        <v>335</v>
      </c>
      <c r="D248" s="453" t="s">
        <v>336</v>
      </c>
      <c r="E248" s="432" t="s">
        <v>78</v>
      </c>
      <c r="F248" s="434" t="s">
        <v>79</v>
      </c>
      <c r="G248" s="149">
        <f t="shared" si="515"/>
        <v>1</v>
      </c>
      <c r="H248" s="24" t="s">
        <v>198</v>
      </c>
      <c r="I248" s="22">
        <f t="shared" si="383"/>
        <v>13712.000000000002</v>
      </c>
      <c r="J248" s="23">
        <f t="shared" si="384"/>
        <v>18.999999999999989</v>
      </c>
      <c r="K248" s="169">
        <v>16317.28</v>
      </c>
      <c r="L248" s="5">
        <f t="shared" si="391"/>
        <v>16317.28</v>
      </c>
      <c r="M248" s="411">
        <f t="shared" ref="M248" si="535">IFERROR(AVERAGE(L248:L249),"")</f>
        <v>28238.105</v>
      </c>
      <c r="N248" s="411">
        <f t="shared" ref="N248" si="536">IFERROR(HARMEAN(L248:L249),"")</f>
        <v>23205.682722349819</v>
      </c>
      <c r="O248" s="411">
        <f t="shared" ref="O248" si="537">IFERROR(MEDIAN(L248:L249),"")</f>
        <v>28238.105000000003</v>
      </c>
      <c r="P248" s="86">
        <f t="shared" si="382"/>
        <v>16317.28</v>
      </c>
      <c r="Q248" s="413">
        <f t="shared" ref="Q248" si="538">IFERROR(SUM(P248:P249)/COUNTA(K248:K249),"")</f>
        <v>28238.105</v>
      </c>
      <c r="R248" s="411">
        <f t="shared" ref="R248" si="539">IFERROR(_xlfn.STDEV.S(L248:L249),"")</f>
        <v>16858.592389676254</v>
      </c>
      <c r="S248" s="415">
        <f t="shared" ref="S248" si="540">IFERROR(R248/M248,"")</f>
        <v>0.5970157129763578</v>
      </c>
      <c r="T248" s="417" t="s">
        <v>2005</v>
      </c>
      <c r="U248" s="407">
        <f t="shared" si="357"/>
        <v>28238.105</v>
      </c>
      <c r="V248" s="503" t="e" vm="97">
        <v>#VALUE!</v>
      </c>
    </row>
    <row r="249" spans="1:22" ht="45" customHeight="1" x14ac:dyDescent="0.3">
      <c r="A249" s="496"/>
      <c r="B249" s="266"/>
      <c r="C249" s="454"/>
      <c r="D249" s="454"/>
      <c r="E249" s="433"/>
      <c r="F249" s="435"/>
      <c r="G249" s="149">
        <f t="shared" si="515"/>
        <v>1</v>
      </c>
      <c r="H249" s="53" t="s">
        <v>147</v>
      </c>
      <c r="I249" s="22">
        <f t="shared" si="383"/>
        <v>33747</v>
      </c>
      <c r="J249" s="23">
        <f t="shared" si="384"/>
        <v>19</v>
      </c>
      <c r="K249" s="169">
        <v>40158.93</v>
      </c>
      <c r="L249" s="5">
        <f t="shared" si="391"/>
        <v>40158.93</v>
      </c>
      <c r="M249" s="412"/>
      <c r="N249" s="412"/>
      <c r="O249" s="412"/>
      <c r="P249" s="86">
        <f t="shared" si="382"/>
        <v>40158.93</v>
      </c>
      <c r="Q249" s="414"/>
      <c r="R249" s="412"/>
      <c r="S249" s="416"/>
      <c r="T249" s="418"/>
      <c r="U249" s="408">
        <f t="shared" si="357"/>
        <v>0</v>
      </c>
      <c r="V249" s="504"/>
    </row>
    <row r="250" spans="1:22" ht="45" customHeight="1" x14ac:dyDescent="0.3">
      <c r="A250" s="496">
        <v>123</v>
      </c>
      <c r="B250" s="409">
        <v>60106211</v>
      </c>
      <c r="C250" s="453" t="s">
        <v>337</v>
      </c>
      <c r="D250" s="453" t="s">
        <v>338</v>
      </c>
      <c r="E250" s="432" t="s">
        <v>78</v>
      </c>
      <c r="F250" s="434" t="s">
        <v>79</v>
      </c>
      <c r="G250" s="149">
        <f t="shared" si="515"/>
        <v>1</v>
      </c>
      <c r="H250" s="24" t="s">
        <v>73</v>
      </c>
      <c r="I250" s="22">
        <f t="shared" si="383"/>
        <v>118900</v>
      </c>
      <c r="J250" s="23">
        <f t="shared" si="384"/>
        <v>19</v>
      </c>
      <c r="K250" s="169">
        <v>141491</v>
      </c>
      <c r="L250" s="5">
        <f t="shared" si="391"/>
        <v>141491</v>
      </c>
      <c r="M250" s="411">
        <f t="shared" ref="M250" si="541">IFERROR(AVERAGE(L250:L251),"")</f>
        <v>142086</v>
      </c>
      <c r="N250" s="411">
        <f t="shared" ref="N250" si="542">IFERROR(HARMEAN(L250:L251),"")</f>
        <v>142083.50837520938</v>
      </c>
      <c r="O250" s="411">
        <f t="shared" ref="O250" si="543">IFERROR(MEDIAN(L250:L251),"")</f>
        <v>142086</v>
      </c>
      <c r="P250" s="86">
        <f t="shared" si="382"/>
        <v>141491</v>
      </c>
      <c r="Q250" s="413">
        <f t="shared" ref="Q250" si="544">IFERROR(SUM(P250:P251)/COUNTA(K250:K251),"")</f>
        <v>142086</v>
      </c>
      <c r="R250" s="411">
        <f t="shared" ref="R250" si="545">IFERROR(_xlfn.STDEV.S(L250:L251),"")</f>
        <v>841.45706961199153</v>
      </c>
      <c r="S250" s="415">
        <f t="shared" ref="S250" si="546">IFERROR(R250/M250,"")</f>
        <v>5.9221673466210009E-3</v>
      </c>
      <c r="T250" s="417" t="s">
        <v>2005</v>
      </c>
      <c r="U250" s="407">
        <f t="shared" si="357"/>
        <v>142086</v>
      </c>
      <c r="V250" s="503" t="e" vm="98">
        <v>#VALUE!</v>
      </c>
    </row>
    <row r="251" spans="1:22" ht="45" customHeight="1" x14ac:dyDescent="0.3">
      <c r="A251" s="496"/>
      <c r="B251" s="266"/>
      <c r="C251" s="454"/>
      <c r="D251" s="454"/>
      <c r="E251" s="433"/>
      <c r="F251" s="435"/>
      <c r="G251" s="149">
        <f t="shared" si="515"/>
        <v>1</v>
      </c>
      <c r="H251" s="53" t="s">
        <v>339</v>
      </c>
      <c r="I251" s="22">
        <f t="shared" si="383"/>
        <v>119900</v>
      </c>
      <c r="J251" s="23">
        <f t="shared" si="384"/>
        <v>19</v>
      </c>
      <c r="K251" s="169">
        <v>142681</v>
      </c>
      <c r="L251" s="5">
        <f t="shared" si="391"/>
        <v>142681</v>
      </c>
      <c r="M251" s="412"/>
      <c r="N251" s="412"/>
      <c r="O251" s="412"/>
      <c r="P251" s="86">
        <f t="shared" si="382"/>
        <v>142681</v>
      </c>
      <c r="Q251" s="414"/>
      <c r="R251" s="412"/>
      <c r="S251" s="416"/>
      <c r="T251" s="418"/>
      <c r="U251" s="408">
        <f t="shared" si="357"/>
        <v>0</v>
      </c>
      <c r="V251" s="504"/>
    </row>
    <row r="252" spans="1:22" ht="45" customHeight="1" x14ac:dyDescent="0.3">
      <c r="A252" s="496">
        <v>124</v>
      </c>
      <c r="B252" s="409" t="s">
        <v>340</v>
      </c>
      <c r="C252" s="453" t="s">
        <v>341</v>
      </c>
      <c r="D252" s="453" t="s">
        <v>342</v>
      </c>
      <c r="E252" s="432" t="s">
        <v>78</v>
      </c>
      <c r="F252" s="434" t="s">
        <v>79</v>
      </c>
      <c r="G252" s="149">
        <f t="shared" si="515"/>
        <v>1</v>
      </c>
      <c r="H252" s="24" t="s">
        <v>80</v>
      </c>
      <c r="I252" s="22">
        <f t="shared" si="383"/>
        <v>540684</v>
      </c>
      <c r="J252" s="23">
        <f t="shared" si="384"/>
        <v>18.999999999999993</v>
      </c>
      <c r="K252" s="169">
        <v>643413.96</v>
      </c>
      <c r="L252" s="5">
        <f t="shared" si="391"/>
        <v>643413.96</v>
      </c>
      <c r="M252" s="411">
        <f t="shared" ref="M252" si="547">IFERROR(AVERAGE(L252:L253),"")</f>
        <v>467768.77</v>
      </c>
      <c r="N252" s="411">
        <f t="shared" ref="N252" si="548">IFERROR(HARMEAN(L252:L253),"")</f>
        <v>401814.74581378489</v>
      </c>
      <c r="O252" s="411">
        <f t="shared" ref="O252" si="549">IFERROR(MEDIAN(L252:L253),"")</f>
        <v>467768.77</v>
      </c>
      <c r="P252" s="86">
        <f t="shared" si="382"/>
        <v>643413.96</v>
      </c>
      <c r="Q252" s="413">
        <f t="shared" ref="Q252" si="550">IFERROR(SUM(P252:P253)/COUNTA(K252:K253),"")</f>
        <v>467768.77</v>
      </c>
      <c r="R252" s="411">
        <f t="shared" ref="R252" si="551">IFERROR(_xlfn.STDEV.S(L252:L253),"")</f>
        <v>248399.80986359893</v>
      </c>
      <c r="S252" s="415">
        <f t="shared" ref="S252" si="552">IFERROR(R252/M252,"")</f>
        <v>0.53103119702411716</v>
      </c>
      <c r="T252" s="417" t="s">
        <v>2005</v>
      </c>
      <c r="U252" s="407">
        <f t="shared" ref="U252:U315" si="553">M252</f>
        <v>467768.77</v>
      </c>
      <c r="V252" s="503" t="e" vm="99">
        <v>#VALUE!</v>
      </c>
    </row>
    <row r="253" spans="1:22" ht="45" customHeight="1" x14ac:dyDescent="0.3">
      <c r="A253" s="496"/>
      <c r="B253" s="266"/>
      <c r="C253" s="454"/>
      <c r="D253" s="454"/>
      <c r="E253" s="433"/>
      <c r="F253" s="435"/>
      <c r="G253" s="149">
        <f t="shared" si="515"/>
        <v>1</v>
      </c>
      <c r="H253" s="53" t="s">
        <v>309</v>
      </c>
      <c r="I253" s="22">
        <f t="shared" si="383"/>
        <v>245482.00000000003</v>
      </c>
      <c r="J253" s="23">
        <f t="shared" si="384"/>
        <v>18.999999999999993</v>
      </c>
      <c r="K253" s="169">
        <v>292123.58</v>
      </c>
      <c r="L253" s="5">
        <f t="shared" si="391"/>
        <v>292123.58</v>
      </c>
      <c r="M253" s="412"/>
      <c r="N253" s="412"/>
      <c r="O253" s="412"/>
      <c r="P253" s="86">
        <f t="shared" si="382"/>
        <v>292123.58</v>
      </c>
      <c r="Q253" s="414"/>
      <c r="R253" s="412"/>
      <c r="S253" s="416"/>
      <c r="T253" s="418"/>
      <c r="U253" s="408">
        <f t="shared" si="553"/>
        <v>0</v>
      </c>
      <c r="V253" s="504"/>
    </row>
    <row r="254" spans="1:22" ht="45" customHeight="1" x14ac:dyDescent="0.3">
      <c r="A254" s="496">
        <v>125</v>
      </c>
      <c r="B254" s="409">
        <v>23271807</v>
      </c>
      <c r="C254" s="453" t="s">
        <v>343</v>
      </c>
      <c r="D254" s="453" t="s">
        <v>344</v>
      </c>
      <c r="E254" s="432" t="s">
        <v>78</v>
      </c>
      <c r="F254" s="434" t="s">
        <v>78</v>
      </c>
      <c r="G254" s="149">
        <f t="shared" si="515"/>
        <v>1</v>
      </c>
      <c r="H254" s="24" t="s">
        <v>80</v>
      </c>
      <c r="I254" s="22">
        <f t="shared" si="383"/>
        <v>105163</v>
      </c>
      <c r="J254" s="23">
        <f t="shared" si="384"/>
        <v>19</v>
      </c>
      <c r="K254" s="169">
        <v>125143.97</v>
      </c>
      <c r="L254" s="5">
        <f t="shared" si="391"/>
        <v>125143.97</v>
      </c>
      <c r="M254" s="411">
        <f t="shared" ref="M254" si="554">IFERROR(AVERAGE(L254:L255),"")</f>
        <v>144629.625</v>
      </c>
      <c r="N254" s="411">
        <f t="shared" ref="N254" si="555">IFERROR(HARMEAN(L254:L255),"")</f>
        <v>142004.362362563</v>
      </c>
      <c r="O254" s="411">
        <f t="shared" ref="O254" si="556">IFERROR(MEDIAN(L254:L255),"")</f>
        <v>144629.625</v>
      </c>
      <c r="P254" s="86">
        <f t="shared" si="382"/>
        <v>125143.97</v>
      </c>
      <c r="Q254" s="413">
        <f t="shared" ref="Q254" si="557">IFERROR(SUM(P254:P255)/COUNTA(K254:K255),"")</f>
        <v>144629.625</v>
      </c>
      <c r="R254" s="411">
        <f t="shared" ref="R254" si="558">IFERROR(_xlfn.STDEV.S(L254:L255),"")</f>
        <v>27556.877572723148</v>
      </c>
      <c r="S254" s="415">
        <f t="shared" ref="S254" si="559">IFERROR(R254/M254,"")</f>
        <v>0.19053411479648893</v>
      </c>
      <c r="T254" s="417" t="s">
        <v>2005</v>
      </c>
      <c r="U254" s="407">
        <f t="shared" si="553"/>
        <v>144629.625</v>
      </c>
      <c r="V254" s="503" t="s">
        <v>345</v>
      </c>
    </row>
    <row r="255" spans="1:22" ht="45" customHeight="1" x14ac:dyDescent="0.3">
      <c r="A255" s="496"/>
      <c r="B255" s="266"/>
      <c r="C255" s="454"/>
      <c r="D255" s="454"/>
      <c r="E255" s="433"/>
      <c r="F255" s="435"/>
      <c r="G255" s="149">
        <f t="shared" si="515"/>
        <v>1</v>
      </c>
      <c r="H255" s="53" t="s">
        <v>147</v>
      </c>
      <c r="I255" s="22">
        <f t="shared" si="383"/>
        <v>137912</v>
      </c>
      <c r="J255" s="23">
        <f t="shared" si="384"/>
        <v>19</v>
      </c>
      <c r="K255" s="169">
        <v>164115.28</v>
      </c>
      <c r="L255" s="5">
        <f t="shared" si="391"/>
        <v>164115.28</v>
      </c>
      <c r="M255" s="412"/>
      <c r="N255" s="412"/>
      <c r="O255" s="412"/>
      <c r="P255" s="86">
        <f t="shared" si="382"/>
        <v>164115.28</v>
      </c>
      <c r="Q255" s="414"/>
      <c r="R255" s="412"/>
      <c r="S255" s="416"/>
      <c r="T255" s="418"/>
      <c r="U255" s="408">
        <f t="shared" si="553"/>
        <v>0</v>
      </c>
      <c r="V255" s="504"/>
    </row>
    <row r="256" spans="1:22" ht="54.6" customHeight="1" x14ac:dyDescent="0.3">
      <c r="A256" s="496">
        <v>126</v>
      </c>
      <c r="B256" s="409" t="s">
        <v>340</v>
      </c>
      <c r="C256" s="453" t="s">
        <v>346</v>
      </c>
      <c r="D256" s="522" t="s">
        <v>2024</v>
      </c>
      <c r="E256" s="432" t="s">
        <v>78</v>
      </c>
      <c r="F256" s="434" t="s">
        <v>79</v>
      </c>
      <c r="G256" s="149">
        <f t="shared" si="515"/>
        <v>1</v>
      </c>
      <c r="H256" s="24" t="s">
        <v>347</v>
      </c>
      <c r="I256" s="22">
        <f t="shared" si="383"/>
        <v>102131</v>
      </c>
      <c r="J256" s="23">
        <f t="shared" si="384"/>
        <v>19</v>
      </c>
      <c r="K256" s="169">
        <v>121535.89</v>
      </c>
      <c r="L256" s="5">
        <f t="shared" si="391"/>
        <v>121535.89</v>
      </c>
      <c r="M256" s="411">
        <f t="shared" ref="M256" si="560">IFERROR(AVERAGE(L256:L257),"")</f>
        <v>124283.005</v>
      </c>
      <c r="N256" s="411">
        <f t="shared" ref="N256" si="561">IFERROR(HARMEAN(L256:L257),"")</f>
        <v>124222.28357776512</v>
      </c>
      <c r="O256" s="411">
        <f t="shared" ref="O256" si="562">IFERROR(MEDIAN(L256:L257),"")</f>
        <v>124283.005</v>
      </c>
      <c r="P256" s="86">
        <f t="shared" si="382"/>
        <v>121535.89</v>
      </c>
      <c r="Q256" s="413">
        <f t="shared" ref="Q256" si="563">IFERROR(SUM(P256:P257)/COUNTA(K256:K257),"")</f>
        <v>124283.005</v>
      </c>
      <c r="R256" s="411">
        <f t="shared" ref="R256" si="564">IFERROR(_xlfn.STDEV.S(L256:L257),"")</f>
        <v>3885.007290398562</v>
      </c>
      <c r="S256" s="415">
        <f t="shared" ref="S256" si="565">IFERROR(R256/M256,"")</f>
        <v>3.1259360766168809E-2</v>
      </c>
      <c r="T256" s="417" t="s">
        <v>2005</v>
      </c>
      <c r="U256" s="407">
        <f t="shared" si="553"/>
        <v>124283.005</v>
      </c>
      <c r="V256" s="503" t="e" vm="100">
        <v>#VALUE!</v>
      </c>
    </row>
    <row r="257" spans="1:22" ht="51.6" customHeight="1" x14ac:dyDescent="0.3">
      <c r="A257" s="496"/>
      <c r="B257" s="266"/>
      <c r="C257" s="454"/>
      <c r="D257" s="454"/>
      <c r="E257" s="433"/>
      <c r="F257" s="435"/>
      <c r="G257" s="149">
        <f t="shared" si="515"/>
        <v>1</v>
      </c>
      <c r="H257" s="53" t="s">
        <v>348</v>
      </c>
      <c r="I257" s="22">
        <f t="shared" si="383"/>
        <v>106748</v>
      </c>
      <c r="J257" s="23">
        <f t="shared" si="384"/>
        <v>18.999999999999993</v>
      </c>
      <c r="K257" s="169">
        <v>127030.12</v>
      </c>
      <c r="L257" s="5">
        <f t="shared" si="391"/>
        <v>127030.12</v>
      </c>
      <c r="M257" s="412"/>
      <c r="N257" s="412"/>
      <c r="O257" s="412"/>
      <c r="P257" s="86">
        <f t="shared" si="382"/>
        <v>127030.12</v>
      </c>
      <c r="Q257" s="414"/>
      <c r="R257" s="412"/>
      <c r="S257" s="416"/>
      <c r="T257" s="418"/>
      <c r="U257" s="408">
        <f t="shared" si="553"/>
        <v>0</v>
      </c>
      <c r="V257" s="504"/>
    </row>
    <row r="258" spans="1:22" ht="45" customHeight="1" x14ac:dyDescent="0.3">
      <c r="A258" s="496">
        <v>127</v>
      </c>
      <c r="B258" s="409">
        <v>23271806</v>
      </c>
      <c r="C258" s="453" t="s">
        <v>349</v>
      </c>
      <c r="D258" s="453" t="s">
        <v>350</v>
      </c>
      <c r="E258" s="432" t="s">
        <v>78</v>
      </c>
      <c r="F258" s="434" t="s">
        <v>79</v>
      </c>
      <c r="G258" s="149">
        <f t="shared" si="515"/>
        <v>1</v>
      </c>
      <c r="H258" s="24" t="s">
        <v>351</v>
      </c>
      <c r="I258" s="22">
        <f t="shared" si="383"/>
        <v>1558068</v>
      </c>
      <c r="J258" s="23">
        <f t="shared" si="384"/>
        <v>18.999999999999993</v>
      </c>
      <c r="K258" s="169">
        <v>1854100.92</v>
      </c>
      <c r="L258" s="5">
        <f t="shared" si="391"/>
        <v>1854100.92</v>
      </c>
      <c r="M258" s="411">
        <f t="shared" ref="M258" si="566">IFERROR(AVERAGE(L258:L259),"")</f>
        <v>2160423.46</v>
      </c>
      <c r="N258" s="411">
        <f t="shared" ref="N258" si="567">IFERROR(HARMEAN(L258:L259),"")</f>
        <v>2116990.5403667111</v>
      </c>
      <c r="O258" s="411">
        <f t="shared" ref="O258" si="568">IFERROR(MEDIAN(L258:L259),"")</f>
        <v>2160423.46</v>
      </c>
      <c r="P258" s="86">
        <f t="shared" si="382"/>
        <v>1854100.92</v>
      </c>
      <c r="Q258" s="413">
        <f t="shared" ref="Q258" si="569">IFERROR(SUM(P258:P259)/COUNTA(K258:K259),"")</f>
        <v>2160423.46</v>
      </c>
      <c r="R258" s="411">
        <f t="shared" ref="R258" si="570">IFERROR(_xlfn.STDEV.S(L258:L259),"")</f>
        <v>433205.49052857526</v>
      </c>
      <c r="S258" s="415">
        <f t="shared" ref="S258" si="571">IFERROR(R258/M258,"")</f>
        <v>0.20051878650150154</v>
      </c>
      <c r="T258" s="417" t="s">
        <v>2005</v>
      </c>
      <c r="U258" s="407">
        <f t="shared" si="553"/>
        <v>2160423.46</v>
      </c>
      <c r="V258" s="503" t="e" vm="101">
        <v>#VALUE!</v>
      </c>
    </row>
    <row r="259" spans="1:22" ht="45" customHeight="1" x14ac:dyDescent="0.3">
      <c r="A259" s="496"/>
      <c r="B259" s="266"/>
      <c r="C259" s="454"/>
      <c r="D259" s="454"/>
      <c r="E259" s="433"/>
      <c r="F259" s="435"/>
      <c r="G259" s="149">
        <f t="shared" si="515"/>
        <v>1</v>
      </c>
      <c r="H259" s="53" t="s">
        <v>2025</v>
      </c>
      <c r="I259" s="22">
        <f t="shared" si="383"/>
        <v>2072895.7983193279</v>
      </c>
      <c r="J259" s="23">
        <f t="shared" si="384"/>
        <v>18.999999999999993</v>
      </c>
      <c r="K259" s="22">
        <v>2466746</v>
      </c>
      <c r="L259" s="5">
        <f t="shared" si="391"/>
        <v>2466746</v>
      </c>
      <c r="M259" s="412"/>
      <c r="N259" s="412"/>
      <c r="O259" s="412"/>
      <c r="P259" s="86">
        <f t="shared" si="382"/>
        <v>2466746</v>
      </c>
      <c r="Q259" s="414"/>
      <c r="R259" s="412"/>
      <c r="S259" s="416"/>
      <c r="T259" s="418"/>
      <c r="U259" s="408">
        <f t="shared" si="553"/>
        <v>0</v>
      </c>
      <c r="V259" s="504"/>
    </row>
    <row r="260" spans="1:22" ht="45" customHeight="1" x14ac:dyDescent="0.3">
      <c r="A260" s="496">
        <v>128</v>
      </c>
      <c r="B260" s="409">
        <v>23271806</v>
      </c>
      <c r="C260" s="453" t="s">
        <v>352</v>
      </c>
      <c r="D260" s="453" t="s">
        <v>353</v>
      </c>
      <c r="E260" s="432" t="s">
        <v>78</v>
      </c>
      <c r="F260" s="434" t="s">
        <v>79</v>
      </c>
      <c r="G260" s="149">
        <f t="shared" si="515"/>
        <v>1</v>
      </c>
      <c r="H260" s="24" t="s">
        <v>351</v>
      </c>
      <c r="I260" s="22">
        <f t="shared" si="383"/>
        <v>4448220</v>
      </c>
      <c r="J260" s="23">
        <f t="shared" si="384"/>
        <v>18.999999999999993</v>
      </c>
      <c r="K260" s="169">
        <v>5293381.8</v>
      </c>
      <c r="L260" s="5">
        <f t="shared" si="391"/>
        <v>5293381.8</v>
      </c>
      <c r="M260" s="411">
        <f t="shared" ref="M260" si="572">IFERROR(AVERAGE(L260:L261),"")</f>
        <v>5510256.9000000004</v>
      </c>
      <c r="N260" s="411">
        <f t="shared" ref="N260" si="573">IFERROR(HARMEAN(L260:L261),"")</f>
        <v>5501721.0350024877</v>
      </c>
      <c r="O260" s="411">
        <f t="shared" ref="O260" si="574">IFERROR(MEDIAN(L260:L261),"")</f>
        <v>5510256.9000000004</v>
      </c>
      <c r="P260" s="86">
        <f t="shared" si="382"/>
        <v>5293381.8</v>
      </c>
      <c r="Q260" s="413">
        <f t="shared" ref="Q260" si="575">IFERROR(SUM(P260:P261)/COUNTA(K260:K261),"")</f>
        <v>5510256.9000000004</v>
      </c>
      <c r="R260" s="411">
        <f t="shared" ref="R260" si="576">IFERROR(_xlfn.STDEV.S(L260:L261),"")</f>
        <v>306707.70776102133</v>
      </c>
      <c r="S260" s="415">
        <f t="shared" ref="S260" si="577">IFERROR(R260/M260,"")</f>
        <v>5.5661235642392885E-2</v>
      </c>
      <c r="T260" s="417" t="s">
        <v>2005</v>
      </c>
      <c r="U260" s="407">
        <f t="shared" si="553"/>
        <v>5510256.9000000004</v>
      </c>
      <c r="V260" s="503" t="e" vm="102">
        <v>#VALUE!</v>
      </c>
    </row>
    <row r="261" spans="1:22" ht="45" customHeight="1" x14ac:dyDescent="0.3">
      <c r="A261" s="496"/>
      <c r="B261" s="266"/>
      <c r="C261" s="454"/>
      <c r="D261" s="454"/>
      <c r="E261" s="433"/>
      <c r="F261" s="435"/>
      <c r="G261" s="149">
        <f t="shared" si="515"/>
        <v>1</v>
      </c>
      <c r="H261" s="53" t="s">
        <v>2025</v>
      </c>
      <c r="I261" s="22">
        <f t="shared" si="383"/>
        <v>4812715.9663865548</v>
      </c>
      <c r="J261" s="23">
        <f t="shared" si="384"/>
        <v>18.999999999999996</v>
      </c>
      <c r="K261" s="22">
        <v>5727132</v>
      </c>
      <c r="L261" s="5">
        <f t="shared" si="391"/>
        <v>5727132</v>
      </c>
      <c r="M261" s="412"/>
      <c r="N261" s="412"/>
      <c r="O261" s="412"/>
      <c r="P261" s="86">
        <f t="shared" ref="P261:P324" si="578">IF(L261="","",L261)</f>
        <v>5727132</v>
      </c>
      <c r="Q261" s="414"/>
      <c r="R261" s="412"/>
      <c r="S261" s="416"/>
      <c r="T261" s="418"/>
      <c r="U261" s="408">
        <f t="shared" si="553"/>
        <v>0</v>
      </c>
      <c r="V261" s="504"/>
    </row>
    <row r="262" spans="1:22" ht="45" customHeight="1" x14ac:dyDescent="0.3">
      <c r="A262" s="496">
        <v>129</v>
      </c>
      <c r="B262" s="409">
        <v>31162900</v>
      </c>
      <c r="C262" s="453" t="s">
        <v>354</v>
      </c>
      <c r="D262" s="453" t="s">
        <v>355</v>
      </c>
      <c r="E262" s="432" t="s">
        <v>78</v>
      </c>
      <c r="F262" s="434" t="s">
        <v>79</v>
      </c>
      <c r="G262" s="149">
        <f t="shared" si="515"/>
        <v>1</v>
      </c>
      <c r="H262" s="24" t="s">
        <v>356</v>
      </c>
      <c r="I262" s="22">
        <f t="shared" ref="I262:I325" si="579">IFERROR(K262/((100+J262)/100),"")</f>
        <v>87309</v>
      </c>
      <c r="J262" s="23">
        <f t="shared" ref="J262:J325" si="580">IF(K262="","",(K262-(K262/1.19))/(K262/1.19)*100)</f>
        <v>18.999999999999993</v>
      </c>
      <c r="K262" s="169">
        <v>103897.70999999999</v>
      </c>
      <c r="L262" s="5">
        <f t="shared" si="391"/>
        <v>103897.70999999999</v>
      </c>
      <c r="M262" s="411">
        <f t="shared" ref="M262" si="581">IFERROR(AVERAGE(L262:L263),"")</f>
        <v>114363.76</v>
      </c>
      <c r="N262" s="411">
        <f t="shared" ref="N262" si="582">IFERROR(HARMEAN(L262:L263),"")</f>
        <v>113405.95481239074</v>
      </c>
      <c r="O262" s="411">
        <f t="shared" ref="O262" si="583">IFERROR(MEDIAN(L262:L263),"")</f>
        <v>114363.76</v>
      </c>
      <c r="P262" s="86">
        <f t="shared" si="578"/>
        <v>103897.70999999999</v>
      </c>
      <c r="Q262" s="413">
        <f t="shared" ref="Q262" si="584">IFERROR(SUM(P262:P263)/COUNTA(K262:K263),"")</f>
        <v>114363.76</v>
      </c>
      <c r="R262" s="411">
        <f t="shared" ref="R262" si="585">IFERROR(_xlfn.STDEV.S(L262:L263),"")</f>
        <v>14801.229854474936</v>
      </c>
      <c r="S262" s="415">
        <f t="shared" ref="S262" si="586">IFERROR(R262/M262,"")</f>
        <v>0.12942237868425222</v>
      </c>
      <c r="T262" s="417" t="s">
        <v>2005</v>
      </c>
      <c r="U262" s="407">
        <f t="shared" si="553"/>
        <v>114363.76</v>
      </c>
      <c r="V262" s="503" t="e" vm="103">
        <v>#VALUE!</v>
      </c>
    </row>
    <row r="263" spans="1:22" ht="45" customHeight="1" x14ac:dyDescent="0.3">
      <c r="A263" s="496"/>
      <c r="B263" s="266"/>
      <c r="C263" s="454"/>
      <c r="D263" s="454"/>
      <c r="E263" s="433"/>
      <c r="F263" s="435"/>
      <c r="G263" s="149">
        <f t="shared" si="515"/>
        <v>1</v>
      </c>
      <c r="H263" s="53" t="s">
        <v>147</v>
      </c>
      <c r="I263" s="22">
        <f t="shared" si="579"/>
        <v>104899</v>
      </c>
      <c r="J263" s="23">
        <f t="shared" si="580"/>
        <v>18.999999999999996</v>
      </c>
      <c r="K263" s="169">
        <v>124829.81</v>
      </c>
      <c r="L263" s="5">
        <f t="shared" si="391"/>
        <v>124829.81</v>
      </c>
      <c r="M263" s="412"/>
      <c r="N263" s="412"/>
      <c r="O263" s="412"/>
      <c r="P263" s="86">
        <f t="shared" si="578"/>
        <v>124829.81</v>
      </c>
      <c r="Q263" s="414"/>
      <c r="R263" s="412"/>
      <c r="S263" s="416"/>
      <c r="T263" s="418"/>
      <c r="U263" s="408">
        <f t="shared" si="553"/>
        <v>0</v>
      </c>
      <c r="V263" s="504"/>
    </row>
    <row r="264" spans="1:22" ht="45" customHeight="1" x14ac:dyDescent="0.3">
      <c r="A264" s="496">
        <v>130</v>
      </c>
      <c r="B264" s="521">
        <v>11162116</v>
      </c>
      <c r="C264" s="517" t="s">
        <v>357</v>
      </c>
      <c r="D264" s="518" t="s">
        <v>2026</v>
      </c>
      <c r="E264" s="432" t="s">
        <v>42</v>
      </c>
      <c r="F264" s="434" t="s">
        <v>72</v>
      </c>
      <c r="G264" s="149">
        <f t="shared" si="515"/>
        <v>1</v>
      </c>
      <c r="H264" s="24" t="s">
        <v>358</v>
      </c>
      <c r="I264" s="22">
        <f t="shared" si="579"/>
        <v>209200</v>
      </c>
      <c r="J264" s="23">
        <f t="shared" si="580"/>
        <v>19</v>
      </c>
      <c r="K264" s="169">
        <v>248948</v>
      </c>
      <c r="L264" s="5">
        <f t="shared" ref="L264:L327" si="587">IF(I264="","",(K264)*G264)</f>
        <v>248948</v>
      </c>
      <c r="M264" s="411">
        <f t="shared" ref="M264" si="588">IFERROR(AVERAGE(L264:L265),"")</f>
        <v>329734</v>
      </c>
      <c r="N264" s="411">
        <f t="shared" ref="N264" si="589">IFERROR(HARMEAN(L264:L265),"")</f>
        <v>309941.14334584848</v>
      </c>
      <c r="O264" s="411">
        <f t="shared" ref="O264" si="590">IFERROR(MEDIAN(L264:L265),"")</f>
        <v>329734</v>
      </c>
      <c r="P264" s="86">
        <f t="shared" si="578"/>
        <v>248948</v>
      </c>
      <c r="Q264" s="413">
        <f t="shared" ref="Q264" si="591">IFERROR(SUM(P264:P265)/COUNTA(K264:K265),"")</f>
        <v>329734</v>
      </c>
      <c r="R264" s="411">
        <f t="shared" ref="R264" si="592">IFERROR(_xlfn.STDEV.S(L264:L265),"")</f>
        <v>114248.65684987286</v>
      </c>
      <c r="S264" s="415">
        <f t="shared" ref="S264" si="593">IFERROR(R264/M264,"")</f>
        <v>0.34648734085618366</v>
      </c>
      <c r="T264" s="417" t="s">
        <v>2005</v>
      </c>
      <c r="U264" s="407">
        <f t="shared" si="553"/>
        <v>329734</v>
      </c>
      <c r="V264" s="503" t="e" vm="104">
        <v>#VALUE!</v>
      </c>
    </row>
    <row r="265" spans="1:22" ht="45" customHeight="1" x14ac:dyDescent="0.3">
      <c r="A265" s="496"/>
      <c r="B265" s="519"/>
      <c r="C265" s="517"/>
      <c r="D265" s="515"/>
      <c r="E265" s="433"/>
      <c r="F265" s="435"/>
      <c r="G265" s="149">
        <f t="shared" si="515"/>
        <v>1</v>
      </c>
      <c r="H265" s="53" t="s">
        <v>80</v>
      </c>
      <c r="I265" s="22">
        <f t="shared" si="579"/>
        <v>344974.78991596639</v>
      </c>
      <c r="J265" s="23">
        <f t="shared" si="580"/>
        <v>18.999999999999996</v>
      </c>
      <c r="K265" s="22">
        <v>410520</v>
      </c>
      <c r="L265" s="5">
        <f t="shared" si="587"/>
        <v>410520</v>
      </c>
      <c r="M265" s="412"/>
      <c r="N265" s="412"/>
      <c r="O265" s="412"/>
      <c r="P265" s="86">
        <f t="shared" si="578"/>
        <v>410520</v>
      </c>
      <c r="Q265" s="414"/>
      <c r="R265" s="412"/>
      <c r="S265" s="416"/>
      <c r="T265" s="418"/>
      <c r="U265" s="408">
        <f t="shared" si="553"/>
        <v>0</v>
      </c>
      <c r="V265" s="504"/>
    </row>
    <row r="266" spans="1:22" ht="45" customHeight="1" x14ac:dyDescent="0.3">
      <c r="A266" s="496">
        <v>131</v>
      </c>
      <c r="B266" s="521">
        <v>11162125</v>
      </c>
      <c r="C266" s="517" t="s">
        <v>359</v>
      </c>
      <c r="D266" s="518" t="s">
        <v>2027</v>
      </c>
      <c r="E266" s="432" t="s">
        <v>42</v>
      </c>
      <c r="F266" s="434" t="s">
        <v>72</v>
      </c>
      <c r="G266" s="149">
        <f t="shared" si="515"/>
        <v>1</v>
      </c>
      <c r="H266" s="24" t="s">
        <v>358</v>
      </c>
      <c r="I266" s="22">
        <f t="shared" si="579"/>
        <v>100900</v>
      </c>
      <c r="J266" s="23">
        <f t="shared" si="580"/>
        <v>19</v>
      </c>
      <c r="K266" s="169">
        <v>120071</v>
      </c>
      <c r="L266" s="5">
        <f t="shared" si="587"/>
        <v>120071</v>
      </c>
      <c r="M266" s="411">
        <f t="shared" ref="M266" si="594">IFERROR(AVERAGE(L266:L267),"")</f>
        <v>435035.5</v>
      </c>
      <c r="N266" s="411">
        <f t="shared" ref="N266" si="595">IFERROR(HARMEAN(L266:L267),"")</f>
        <v>207002.07224467889</v>
      </c>
      <c r="O266" s="411">
        <f t="shared" ref="O266" si="596">IFERROR(MEDIAN(L266:L267),"")</f>
        <v>435035.5</v>
      </c>
      <c r="P266" s="86">
        <f t="shared" si="578"/>
        <v>120071</v>
      </c>
      <c r="Q266" s="413">
        <f t="shared" ref="Q266" si="597">IFERROR(SUM(P266:P267)/COUNTA(K266:K267),"")</f>
        <v>435035.5</v>
      </c>
      <c r="R266" s="411">
        <f t="shared" ref="R266" si="598">IFERROR(_xlfn.STDEV.S(L266:L267),"")</f>
        <v>445427.06756606069</v>
      </c>
      <c r="S266" s="415">
        <f t="shared" ref="S266" si="599">IFERROR(R266/M266,"")</f>
        <v>1.0238867116960815</v>
      </c>
      <c r="T266" s="417" t="s">
        <v>2005</v>
      </c>
      <c r="U266" s="407">
        <f t="shared" si="553"/>
        <v>435035.5</v>
      </c>
      <c r="V266" s="503" t="e" vm="105">
        <v>#VALUE!</v>
      </c>
    </row>
    <row r="267" spans="1:22" ht="45" customHeight="1" x14ac:dyDescent="0.3">
      <c r="A267" s="496"/>
      <c r="B267" s="519"/>
      <c r="C267" s="517"/>
      <c r="D267" s="515"/>
      <c r="E267" s="433"/>
      <c r="F267" s="435"/>
      <c r="G267" s="149">
        <f t="shared" si="515"/>
        <v>1</v>
      </c>
      <c r="H267" s="53" t="s">
        <v>2028</v>
      </c>
      <c r="I267" s="22">
        <f t="shared" si="579"/>
        <v>630252.10084033618</v>
      </c>
      <c r="J267" s="23">
        <f t="shared" si="580"/>
        <v>18.999999999999993</v>
      </c>
      <c r="K267" s="22">
        <v>750000</v>
      </c>
      <c r="L267" s="5">
        <f t="shared" si="587"/>
        <v>750000</v>
      </c>
      <c r="M267" s="412"/>
      <c r="N267" s="412"/>
      <c r="O267" s="412"/>
      <c r="P267" s="86">
        <f t="shared" si="578"/>
        <v>750000</v>
      </c>
      <c r="Q267" s="414"/>
      <c r="R267" s="412"/>
      <c r="S267" s="416"/>
      <c r="T267" s="418"/>
      <c r="U267" s="408">
        <f t="shared" si="553"/>
        <v>0</v>
      </c>
      <c r="V267" s="504"/>
    </row>
    <row r="268" spans="1:22" ht="45" customHeight="1" x14ac:dyDescent="0.3">
      <c r="A268" s="496">
        <v>132</v>
      </c>
      <c r="B268" s="519">
        <v>11162125</v>
      </c>
      <c r="C268" s="517" t="s">
        <v>360</v>
      </c>
      <c r="D268" s="520" t="s">
        <v>2029</v>
      </c>
      <c r="E268" s="432" t="s">
        <v>42</v>
      </c>
      <c r="F268" s="434" t="s">
        <v>72</v>
      </c>
      <c r="G268" s="149">
        <f t="shared" si="515"/>
        <v>1</v>
      </c>
      <c r="H268" s="24" t="s">
        <v>358</v>
      </c>
      <c r="I268" s="22">
        <f t="shared" si="579"/>
        <v>136700</v>
      </c>
      <c r="J268" s="23">
        <f t="shared" si="580"/>
        <v>19</v>
      </c>
      <c r="K268" s="169">
        <v>162673</v>
      </c>
      <c r="L268" s="5">
        <f t="shared" si="587"/>
        <v>162673</v>
      </c>
      <c r="M268" s="411">
        <f t="shared" ref="M268" si="600">IFERROR(AVERAGE(L268:L269),"")</f>
        <v>456336.5</v>
      </c>
      <c r="N268" s="411">
        <f t="shared" ref="N268" si="601">IFERROR(HARMEAN(L268:L269),"")</f>
        <v>267356.98327878659</v>
      </c>
      <c r="O268" s="411">
        <f t="shared" ref="O268" si="602">IFERROR(MEDIAN(L268:L269),"")</f>
        <v>456336.5</v>
      </c>
      <c r="P268" s="86">
        <f t="shared" si="578"/>
        <v>162673</v>
      </c>
      <c r="Q268" s="413">
        <f t="shared" ref="Q268" si="603">IFERROR(SUM(P268:P269)/COUNTA(K268:K269),"")</f>
        <v>456336.5</v>
      </c>
      <c r="R268" s="411">
        <f t="shared" ref="R268" si="604">IFERROR(_xlfn.STDEV.S(L268:L269),"")</f>
        <v>415302.90447395138</v>
      </c>
      <c r="S268" s="415">
        <f t="shared" ref="S268" si="605">IFERROR(R268/M268,"")</f>
        <v>0.91008040004240598</v>
      </c>
      <c r="T268" s="417" t="s">
        <v>2005</v>
      </c>
      <c r="U268" s="407">
        <f t="shared" si="553"/>
        <v>456336.5</v>
      </c>
      <c r="V268" s="503" t="e" vm="106">
        <v>#VALUE!</v>
      </c>
    </row>
    <row r="269" spans="1:22" ht="45" customHeight="1" x14ac:dyDescent="0.3">
      <c r="A269" s="496"/>
      <c r="B269" s="519"/>
      <c r="C269" s="517"/>
      <c r="D269" s="515"/>
      <c r="E269" s="433"/>
      <c r="F269" s="435"/>
      <c r="G269" s="149">
        <f t="shared" si="515"/>
        <v>1</v>
      </c>
      <c r="H269" s="53" t="s">
        <v>2028</v>
      </c>
      <c r="I269" s="22">
        <f t="shared" si="579"/>
        <v>630252.10084033618</v>
      </c>
      <c r="J269" s="23">
        <f t="shared" si="580"/>
        <v>18.999999999999993</v>
      </c>
      <c r="K269" s="22">
        <v>750000</v>
      </c>
      <c r="L269" s="5">
        <f t="shared" si="587"/>
        <v>750000</v>
      </c>
      <c r="M269" s="412"/>
      <c r="N269" s="412"/>
      <c r="O269" s="412"/>
      <c r="P269" s="86">
        <f t="shared" si="578"/>
        <v>750000</v>
      </c>
      <c r="Q269" s="414"/>
      <c r="R269" s="412"/>
      <c r="S269" s="416"/>
      <c r="T269" s="418"/>
      <c r="U269" s="408">
        <f t="shared" si="553"/>
        <v>0</v>
      </c>
      <c r="V269" s="504"/>
    </row>
    <row r="270" spans="1:22" ht="45" customHeight="1" x14ac:dyDescent="0.3">
      <c r="A270" s="496">
        <v>133</v>
      </c>
      <c r="B270" s="519">
        <v>11162125</v>
      </c>
      <c r="C270" s="517" t="s">
        <v>361</v>
      </c>
      <c r="D270" s="518" t="s">
        <v>2030</v>
      </c>
      <c r="E270" s="432" t="s">
        <v>42</v>
      </c>
      <c r="F270" s="434" t="s">
        <v>72</v>
      </c>
      <c r="G270" s="149">
        <f t="shared" si="515"/>
        <v>1</v>
      </c>
      <c r="H270" s="24" t="s">
        <v>358</v>
      </c>
      <c r="I270" s="22">
        <f t="shared" si="579"/>
        <v>268050</v>
      </c>
      <c r="J270" s="23">
        <f t="shared" si="580"/>
        <v>19</v>
      </c>
      <c r="K270" s="169">
        <v>318979.5</v>
      </c>
      <c r="L270" s="5">
        <f t="shared" si="587"/>
        <v>318979.5</v>
      </c>
      <c r="M270" s="411">
        <f t="shared" ref="M270" si="606">IFERROR(AVERAGE(L270:L271),"")</f>
        <v>534489.75</v>
      </c>
      <c r="N270" s="411">
        <f t="shared" ref="N270" si="607">IFERROR(HARMEAN(L270:L271),"")</f>
        <v>447594.41130536183</v>
      </c>
      <c r="O270" s="411">
        <f t="shared" ref="O270" si="608">IFERROR(MEDIAN(L270:L271),"")</f>
        <v>534489.75</v>
      </c>
      <c r="P270" s="86">
        <f t="shared" si="578"/>
        <v>318979.5</v>
      </c>
      <c r="Q270" s="413">
        <f t="shared" ref="Q270" si="609">IFERROR(SUM(P270:P271)/COUNTA(K270:K271),"")</f>
        <v>534489.75</v>
      </c>
      <c r="R270" s="411">
        <f t="shared" ref="R270" si="610">IFERROR(_xlfn.STDEV.S(L270:L271),"")</f>
        <v>304777.51838041632</v>
      </c>
      <c r="S270" s="415">
        <f t="shared" ref="S270" si="611">IFERROR(R270/M270,"")</f>
        <v>0.57022144649250306</v>
      </c>
      <c r="T270" s="417" t="s">
        <v>2005</v>
      </c>
      <c r="U270" s="407">
        <f t="shared" si="553"/>
        <v>534489.75</v>
      </c>
      <c r="V270" s="516" t="e" vm="107">
        <v>#VALUE!</v>
      </c>
    </row>
    <row r="271" spans="1:22" ht="45" customHeight="1" x14ac:dyDescent="0.3">
      <c r="A271" s="496"/>
      <c r="B271" s="519"/>
      <c r="C271" s="517"/>
      <c r="D271" s="515"/>
      <c r="E271" s="433"/>
      <c r="F271" s="435"/>
      <c r="G271" s="149">
        <f t="shared" si="515"/>
        <v>1</v>
      </c>
      <c r="H271" s="53" t="s">
        <v>2028</v>
      </c>
      <c r="I271" s="22">
        <f t="shared" si="579"/>
        <v>630252.10084033618</v>
      </c>
      <c r="J271" s="23">
        <f t="shared" si="580"/>
        <v>18.999999999999993</v>
      </c>
      <c r="K271" s="22">
        <v>750000</v>
      </c>
      <c r="L271" s="5">
        <f t="shared" si="587"/>
        <v>750000</v>
      </c>
      <c r="M271" s="412"/>
      <c r="N271" s="412"/>
      <c r="O271" s="412"/>
      <c r="P271" s="86">
        <f t="shared" si="578"/>
        <v>750000</v>
      </c>
      <c r="Q271" s="414"/>
      <c r="R271" s="412"/>
      <c r="S271" s="416"/>
      <c r="T271" s="418"/>
      <c r="U271" s="408">
        <f t="shared" si="553"/>
        <v>0</v>
      </c>
      <c r="V271" s="516"/>
    </row>
    <row r="272" spans="1:22" ht="45" customHeight="1" x14ac:dyDescent="0.3">
      <c r="A272" s="496">
        <v>134</v>
      </c>
      <c r="B272" s="519">
        <v>31201509</v>
      </c>
      <c r="C272" s="517" t="s">
        <v>362</v>
      </c>
      <c r="D272" s="518" t="s">
        <v>2031</v>
      </c>
      <c r="E272" s="432" t="s">
        <v>42</v>
      </c>
      <c r="F272" s="434" t="s">
        <v>72</v>
      </c>
      <c r="G272" s="149">
        <f t="shared" si="515"/>
        <v>1</v>
      </c>
      <c r="H272" s="24" t="s">
        <v>358</v>
      </c>
      <c r="I272" s="22">
        <f t="shared" si="579"/>
        <v>83000</v>
      </c>
      <c r="J272" s="23">
        <f t="shared" si="580"/>
        <v>19</v>
      </c>
      <c r="K272" s="169">
        <v>98770</v>
      </c>
      <c r="L272" s="5">
        <f t="shared" si="587"/>
        <v>98770</v>
      </c>
      <c r="M272" s="411">
        <f t="shared" ref="M272" si="612">IFERROR(AVERAGE(L272:L273),"")</f>
        <v>85912.5</v>
      </c>
      <c r="N272" s="411">
        <f t="shared" ref="N272" si="613">IFERROR(HARMEAN(L272:L273),"")</f>
        <v>83988.271206169069</v>
      </c>
      <c r="O272" s="411">
        <f t="shared" ref="O272" si="614">IFERROR(MEDIAN(L272:L273),"")</f>
        <v>85912.5</v>
      </c>
      <c r="P272" s="86">
        <f t="shared" si="578"/>
        <v>98770</v>
      </c>
      <c r="Q272" s="413">
        <f t="shared" ref="Q272" si="615">IFERROR(SUM(P272:P273)/COUNTA(K272:K273),"")</f>
        <v>85912.5</v>
      </c>
      <c r="R272" s="411">
        <f t="shared" ref="R272" si="616">IFERROR(_xlfn.STDEV.S(L272:L273),"")</f>
        <v>18183.250878212071</v>
      </c>
      <c r="S272" s="415">
        <f t="shared" ref="S272" si="617">IFERROR(R272/M272,"")</f>
        <v>0.21164848977985823</v>
      </c>
      <c r="T272" s="417" t="s">
        <v>2005</v>
      </c>
      <c r="U272" s="407">
        <f t="shared" si="553"/>
        <v>85912.5</v>
      </c>
      <c r="V272" s="504" t="e" vm="108">
        <v>#VALUE!</v>
      </c>
    </row>
    <row r="273" spans="1:22" ht="45" customHeight="1" x14ac:dyDescent="0.3">
      <c r="A273" s="496"/>
      <c r="B273" s="519"/>
      <c r="C273" s="517"/>
      <c r="D273" s="515"/>
      <c r="E273" s="433"/>
      <c r="F273" s="435"/>
      <c r="G273" s="149">
        <f t="shared" si="515"/>
        <v>1</v>
      </c>
      <c r="H273" s="53" t="s">
        <v>80</v>
      </c>
      <c r="I273" s="22">
        <f t="shared" si="579"/>
        <v>61390.756302521011</v>
      </c>
      <c r="J273" s="23">
        <f t="shared" si="580"/>
        <v>18.999999999999993</v>
      </c>
      <c r="K273" s="22">
        <v>73055</v>
      </c>
      <c r="L273" s="5">
        <f t="shared" si="587"/>
        <v>73055</v>
      </c>
      <c r="M273" s="412"/>
      <c r="N273" s="412"/>
      <c r="O273" s="412"/>
      <c r="P273" s="86">
        <f t="shared" si="578"/>
        <v>73055</v>
      </c>
      <c r="Q273" s="414"/>
      <c r="R273" s="412"/>
      <c r="S273" s="416"/>
      <c r="T273" s="418"/>
      <c r="U273" s="408">
        <f t="shared" si="553"/>
        <v>0</v>
      </c>
      <c r="V273" s="504"/>
    </row>
    <row r="274" spans="1:22" ht="45" customHeight="1" x14ac:dyDescent="0.3">
      <c r="A274" s="496">
        <v>135</v>
      </c>
      <c r="B274" s="519">
        <v>60123203</v>
      </c>
      <c r="C274" s="517" t="s">
        <v>363</v>
      </c>
      <c r="D274" s="518" t="s">
        <v>2032</v>
      </c>
      <c r="E274" s="432" t="s">
        <v>42</v>
      </c>
      <c r="F274" s="434" t="s">
        <v>72</v>
      </c>
      <c r="G274" s="149">
        <f t="shared" si="515"/>
        <v>1</v>
      </c>
      <c r="H274" s="24" t="s">
        <v>358</v>
      </c>
      <c r="I274" s="22">
        <f t="shared" si="579"/>
        <v>275000</v>
      </c>
      <c r="J274" s="23">
        <f t="shared" si="580"/>
        <v>19</v>
      </c>
      <c r="K274" s="169">
        <v>327250</v>
      </c>
      <c r="L274" s="5">
        <f t="shared" si="587"/>
        <v>327250</v>
      </c>
      <c r="M274" s="411">
        <f t="shared" ref="M274" si="618">IFERROR(AVERAGE(L274:L275),"")</f>
        <v>425175</v>
      </c>
      <c r="N274" s="411">
        <f t="shared" ref="N274" si="619">IFERROR(HARMEAN(L274:L275),"")</f>
        <v>402621.21479390835</v>
      </c>
      <c r="O274" s="411">
        <f t="shared" ref="O274" si="620">IFERROR(MEDIAN(L274:L275),"")</f>
        <v>425175</v>
      </c>
      <c r="P274" s="86">
        <f t="shared" si="578"/>
        <v>327250</v>
      </c>
      <c r="Q274" s="413">
        <f t="shared" ref="Q274" si="621">IFERROR(SUM(P274:P275)/COUNTA(K274:K275),"")</f>
        <v>425175</v>
      </c>
      <c r="R274" s="411">
        <f t="shared" ref="R274" si="622">IFERROR(_xlfn.STDEV.S(L274:L275),"")</f>
        <v>138486.86309538534</v>
      </c>
      <c r="S274" s="415">
        <f t="shared" ref="S274" si="623">IFERROR(R274/M274,"")</f>
        <v>0.32571732367939166</v>
      </c>
      <c r="T274" s="417" t="s">
        <v>2005</v>
      </c>
      <c r="U274" s="407">
        <f t="shared" si="553"/>
        <v>425175</v>
      </c>
      <c r="V274" s="503" t="e" vm="109">
        <v>#VALUE!</v>
      </c>
    </row>
    <row r="275" spans="1:22" ht="45" customHeight="1" x14ac:dyDescent="0.3">
      <c r="A275" s="496"/>
      <c r="B275" s="519"/>
      <c r="C275" s="517"/>
      <c r="D275" s="515"/>
      <c r="E275" s="433"/>
      <c r="F275" s="435"/>
      <c r="G275" s="149">
        <f t="shared" si="515"/>
        <v>1</v>
      </c>
      <c r="H275" s="53" t="s">
        <v>198</v>
      </c>
      <c r="I275" s="22">
        <f t="shared" si="579"/>
        <v>439579.83193277312</v>
      </c>
      <c r="J275" s="23">
        <f t="shared" si="580"/>
        <v>18.999999999999996</v>
      </c>
      <c r="K275" s="22">
        <v>523100</v>
      </c>
      <c r="L275" s="5">
        <f t="shared" si="587"/>
        <v>523100</v>
      </c>
      <c r="M275" s="412"/>
      <c r="N275" s="412"/>
      <c r="O275" s="412"/>
      <c r="P275" s="86">
        <f t="shared" si="578"/>
        <v>523100</v>
      </c>
      <c r="Q275" s="414"/>
      <c r="R275" s="412"/>
      <c r="S275" s="416"/>
      <c r="T275" s="418"/>
      <c r="U275" s="408">
        <f t="shared" si="553"/>
        <v>0</v>
      </c>
      <c r="V275" s="504"/>
    </row>
    <row r="276" spans="1:22" ht="45" customHeight="1" x14ac:dyDescent="0.3">
      <c r="A276" s="496">
        <v>136</v>
      </c>
      <c r="B276" s="512">
        <v>11161701</v>
      </c>
      <c r="C276" s="517" t="s">
        <v>364</v>
      </c>
      <c r="D276" s="518" t="s">
        <v>2033</v>
      </c>
      <c r="E276" s="432" t="s">
        <v>42</v>
      </c>
      <c r="F276" s="434" t="s">
        <v>72</v>
      </c>
      <c r="G276" s="149">
        <f t="shared" si="515"/>
        <v>1</v>
      </c>
      <c r="H276" s="24" t="s">
        <v>365</v>
      </c>
      <c r="I276" s="22">
        <f t="shared" si="579"/>
        <v>1007983.0000000001</v>
      </c>
      <c r="J276" s="23">
        <f t="shared" si="580"/>
        <v>18.999999999999989</v>
      </c>
      <c r="K276" s="169">
        <v>1199499.77</v>
      </c>
      <c r="L276" s="5">
        <f t="shared" si="587"/>
        <v>1199499.77</v>
      </c>
      <c r="M276" s="411">
        <f t="shared" ref="M276" si="624">IFERROR(AVERAGE(L276:L277),"")</f>
        <v>609249.88500000001</v>
      </c>
      <c r="N276" s="411">
        <f t="shared" ref="N276" si="625">IFERROR(HARMEAN(L276:L277),"")</f>
        <v>37407.468086760491</v>
      </c>
      <c r="O276" s="411">
        <f t="shared" ref="O276" si="626">IFERROR(MEDIAN(L276:L277),"")</f>
        <v>609249.88500000001</v>
      </c>
      <c r="P276" s="86">
        <f t="shared" si="578"/>
        <v>1199499.77</v>
      </c>
      <c r="Q276" s="413">
        <f t="shared" ref="Q276" si="627">IFERROR(SUM(P276:P277)/COUNTA(K276:K277),"")</f>
        <v>609249.88500000001</v>
      </c>
      <c r="R276" s="411">
        <f t="shared" ref="R276" si="628">IFERROR(_xlfn.STDEV.S(L276:L277),"")</f>
        <v>834739.39255615976</v>
      </c>
      <c r="S276" s="415">
        <f t="shared" ref="S276" si="629">IFERROR(R276/M276,"")</f>
        <v>1.3701100535392956</v>
      </c>
      <c r="T276" s="417" t="s">
        <v>2005</v>
      </c>
      <c r="U276" s="407">
        <f t="shared" si="553"/>
        <v>609249.88500000001</v>
      </c>
      <c r="V276" s="503" t="e" vm="110">
        <v>#VALUE!</v>
      </c>
    </row>
    <row r="277" spans="1:22" ht="45" customHeight="1" x14ac:dyDescent="0.3">
      <c r="A277" s="496"/>
      <c r="B277" s="513"/>
      <c r="C277" s="517"/>
      <c r="D277" s="515"/>
      <c r="E277" s="433"/>
      <c r="F277" s="435"/>
      <c r="G277" s="149">
        <f t="shared" si="515"/>
        <v>1</v>
      </c>
      <c r="H277" s="53" t="s">
        <v>2034</v>
      </c>
      <c r="I277" s="22">
        <f t="shared" si="579"/>
        <v>15966.386554621849</v>
      </c>
      <c r="J277" s="23">
        <f t="shared" si="580"/>
        <v>18.999999999999993</v>
      </c>
      <c r="K277" s="22">
        <v>19000</v>
      </c>
      <c r="L277" s="5">
        <f t="shared" si="587"/>
        <v>19000</v>
      </c>
      <c r="M277" s="412"/>
      <c r="N277" s="412"/>
      <c r="O277" s="412"/>
      <c r="P277" s="86">
        <f t="shared" si="578"/>
        <v>19000</v>
      </c>
      <c r="Q277" s="414"/>
      <c r="R277" s="412"/>
      <c r="S277" s="416"/>
      <c r="T277" s="418"/>
      <c r="U277" s="408">
        <f t="shared" si="553"/>
        <v>0</v>
      </c>
      <c r="V277" s="504"/>
    </row>
    <row r="278" spans="1:22" ht="45" customHeight="1" x14ac:dyDescent="0.3">
      <c r="A278" s="496">
        <v>137</v>
      </c>
      <c r="B278" s="512">
        <v>11151500</v>
      </c>
      <c r="C278" s="517" t="s">
        <v>366</v>
      </c>
      <c r="D278" s="518" t="s">
        <v>2035</v>
      </c>
      <c r="E278" s="432" t="s">
        <v>42</v>
      </c>
      <c r="F278" s="434" t="s">
        <v>72</v>
      </c>
      <c r="G278" s="149">
        <f t="shared" si="515"/>
        <v>1</v>
      </c>
      <c r="H278" s="24" t="s">
        <v>365</v>
      </c>
      <c r="I278" s="22">
        <f t="shared" si="579"/>
        <v>839915</v>
      </c>
      <c r="J278" s="23">
        <f t="shared" si="580"/>
        <v>18.999999999999996</v>
      </c>
      <c r="K278" s="169">
        <v>999498.85</v>
      </c>
      <c r="L278" s="5">
        <f t="shared" si="587"/>
        <v>999498.85</v>
      </c>
      <c r="M278" s="411">
        <f t="shared" ref="M278" si="630">IFERROR(AVERAGE(L278:L279),"")</f>
        <v>1049749.425</v>
      </c>
      <c r="N278" s="411">
        <f t="shared" ref="N278" si="631">IFERROR(HARMEAN(L278:L279),"")</f>
        <v>1047343.9744918174</v>
      </c>
      <c r="O278" s="411">
        <f t="shared" ref="O278" si="632">IFERROR(MEDIAN(L278:L279),"")</f>
        <v>1049749.425</v>
      </c>
      <c r="P278" s="86">
        <f t="shared" si="578"/>
        <v>999498.85</v>
      </c>
      <c r="Q278" s="413">
        <f t="shared" ref="Q278" si="633">IFERROR(SUM(P278:P279)/COUNTA(K278:K279),"")</f>
        <v>1049749.425</v>
      </c>
      <c r="R278" s="411">
        <f t="shared" ref="R278" si="634">IFERROR(_xlfn.STDEV.S(L278:L279),"")</f>
        <v>71065.044682046413</v>
      </c>
      <c r="S278" s="415">
        <f t="shared" ref="S278" si="635">IFERROR(R278/M278,"")</f>
        <v>6.7697150376668611E-2</v>
      </c>
      <c r="T278" s="417" t="s">
        <v>2005</v>
      </c>
      <c r="U278" s="407">
        <f t="shared" si="553"/>
        <v>1049749.425</v>
      </c>
      <c r="V278" s="503" t="e" vm="111">
        <v>#VALUE!</v>
      </c>
    </row>
    <row r="279" spans="1:22" ht="45" customHeight="1" x14ac:dyDescent="0.3">
      <c r="A279" s="496"/>
      <c r="B279" s="513"/>
      <c r="C279" s="517"/>
      <c r="D279" s="515"/>
      <c r="E279" s="433"/>
      <c r="F279" s="435"/>
      <c r="G279" s="149">
        <f t="shared" si="515"/>
        <v>1</v>
      </c>
      <c r="H279" s="53" t="s">
        <v>2034</v>
      </c>
      <c r="I279" s="22">
        <f t="shared" si="579"/>
        <v>924369.74789915967</v>
      </c>
      <c r="J279" s="23">
        <f t="shared" si="580"/>
        <v>19</v>
      </c>
      <c r="K279" s="22">
        <v>1100000</v>
      </c>
      <c r="L279" s="5">
        <f t="shared" si="587"/>
        <v>1100000</v>
      </c>
      <c r="M279" s="412"/>
      <c r="N279" s="412"/>
      <c r="O279" s="412"/>
      <c r="P279" s="86">
        <f t="shared" si="578"/>
        <v>1100000</v>
      </c>
      <c r="Q279" s="414"/>
      <c r="R279" s="412"/>
      <c r="S279" s="416"/>
      <c r="T279" s="418"/>
      <c r="U279" s="408">
        <f t="shared" si="553"/>
        <v>0</v>
      </c>
      <c r="V279" s="504"/>
    </row>
    <row r="280" spans="1:22" ht="45" customHeight="1" x14ac:dyDescent="0.3">
      <c r="A280" s="496">
        <v>138</v>
      </c>
      <c r="B280" s="512">
        <v>11151500</v>
      </c>
      <c r="C280" s="517" t="s">
        <v>367</v>
      </c>
      <c r="D280" s="518" t="s">
        <v>2036</v>
      </c>
      <c r="E280" s="432" t="s">
        <v>42</v>
      </c>
      <c r="F280" s="434" t="s">
        <v>72</v>
      </c>
      <c r="G280" s="149">
        <f t="shared" si="515"/>
        <v>1</v>
      </c>
      <c r="H280" s="24" t="s">
        <v>365</v>
      </c>
      <c r="I280" s="22">
        <f t="shared" si="579"/>
        <v>839915</v>
      </c>
      <c r="J280" s="23">
        <f t="shared" si="580"/>
        <v>18.999999999999996</v>
      </c>
      <c r="K280" s="169">
        <v>999498.85</v>
      </c>
      <c r="L280" s="5">
        <f t="shared" si="587"/>
        <v>999498.85</v>
      </c>
      <c r="M280" s="411">
        <f t="shared" ref="M280" si="636">IFERROR(AVERAGE(L280:L281),"")</f>
        <v>996124.42500000005</v>
      </c>
      <c r="N280" s="411">
        <f t="shared" ref="N280" si="637">IFERROR(HARMEAN(L280:L281),"")</f>
        <v>996112.99395404337</v>
      </c>
      <c r="O280" s="411">
        <f t="shared" ref="O280" si="638">IFERROR(MEDIAN(L280:L281),"")</f>
        <v>996124.42500000005</v>
      </c>
      <c r="P280" s="86">
        <f t="shared" si="578"/>
        <v>999498.85</v>
      </c>
      <c r="Q280" s="413">
        <f t="shared" ref="Q280" si="639">IFERROR(SUM(P280:P281)/COUNTA(K280:K281),"")</f>
        <v>996124.42500000005</v>
      </c>
      <c r="R280" s="411">
        <f t="shared" ref="R280" si="640">IFERROR(_xlfn.STDEV.S(L280:L281),"")</f>
        <v>4772.157600210815</v>
      </c>
      <c r="S280" s="415">
        <f t="shared" ref="S280" si="641">IFERROR(R280/M280,"")</f>
        <v>4.7907244119737499E-3</v>
      </c>
      <c r="T280" s="417" t="s">
        <v>2005</v>
      </c>
      <c r="U280" s="407">
        <f t="shared" si="553"/>
        <v>996124.42500000005</v>
      </c>
      <c r="V280" s="503" t="e" vm="112">
        <v>#VALUE!</v>
      </c>
    </row>
    <row r="281" spans="1:22" ht="45" customHeight="1" x14ac:dyDescent="0.3">
      <c r="A281" s="496"/>
      <c r="B281" s="513"/>
      <c r="C281" s="517"/>
      <c r="D281" s="515"/>
      <c r="E281" s="433"/>
      <c r="F281" s="435"/>
      <c r="G281" s="149">
        <f t="shared" si="515"/>
        <v>1</v>
      </c>
      <c r="H281" s="53" t="s">
        <v>101</v>
      </c>
      <c r="I281" s="22">
        <f t="shared" si="579"/>
        <v>834243.69747899158</v>
      </c>
      <c r="J281" s="23">
        <f t="shared" si="580"/>
        <v>19.000000000000004</v>
      </c>
      <c r="K281" s="22">
        <v>992750</v>
      </c>
      <c r="L281" s="5">
        <f t="shared" si="587"/>
        <v>992750</v>
      </c>
      <c r="M281" s="412"/>
      <c r="N281" s="412"/>
      <c r="O281" s="412"/>
      <c r="P281" s="86">
        <f t="shared" si="578"/>
        <v>992750</v>
      </c>
      <c r="Q281" s="414"/>
      <c r="R281" s="412"/>
      <c r="S281" s="416"/>
      <c r="T281" s="418"/>
      <c r="U281" s="408">
        <f t="shared" si="553"/>
        <v>0</v>
      </c>
      <c r="V281" s="504"/>
    </row>
    <row r="282" spans="1:22" ht="45" customHeight="1" x14ac:dyDescent="0.3">
      <c r="A282" s="496">
        <v>139</v>
      </c>
      <c r="B282" s="512">
        <v>11161703</v>
      </c>
      <c r="C282" s="517" t="s">
        <v>368</v>
      </c>
      <c r="D282" s="518" t="s">
        <v>2037</v>
      </c>
      <c r="E282" s="432" t="s">
        <v>42</v>
      </c>
      <c r="F282" s="434" t="s">
        <v>72</v>
      </c>
      <c r="G282" s="149">
        <f t="shared" si="515"/>
        <v>1</v>
      </c>
      <c r="H282" s="24" t="s">
        <v>365</v>
      </c>
      <c r="I282" s="22">
        <f t="shared" si="579"/>
        <v>1058529</v>
      </c>
      <c r="J282" s="23">
        <f t="shared" si="580"/>
        <v>19</v>
      </c>
      <c r="K282" s="169">
        <v>1259649.51</v>
      </c>
      <c r="L282" s="5">
        <f t="shared" si="587"/>
        <v>1259649.51</v>
      </c>
      <c r="M282" s="411">
        <f t="shared" ref="M282" si="642">IFERROR(AVERAGE(L282:L283),"")</f>
        <v>1354824.7549999999</v>
      </c>
      <c r="N282" s="411">
        <f t="shared" ref="N282" si="643">IFERROR(HARMEAN(L282:L283),"")</f>
        <v>1348138.7779189197</v>
      </c>
      <c r="O282" s="411">
        <f t="shared" ref="O282" si="644">IFERROR(MEDIAN(L282:L283),"")</f>
        <v>1354824.7549999999</v>
      </c>
      <c r="P282" s="86">
        <f t="shared" si="578"/>
        <v>1259649.51</v>
      </c>
      <c r="Q282" s="413">
        <f t="shared" ref="Q282" si="645">IFERROR(SUM(P282:P283)/COUNTA(K282:K283),"")</f>
        <v>1354824.7549999999</v>
      </c>
      <c r="R282" s="411">
        <f t="shared" ref="R282" si="646">IFERROR(_xlfn.STDEV.S(L282:L283),"")</f>
        <v>134598.12228118209</v>
      </c>
      <c r="S282" s="415">
        <f t="shared" ref="S282" si="647">IFERROR(R282/M282,"")</f>
        <v>9.9347256377214713E-2</v>
      </c>
      <c r="T282" s="417" t="s">
        <v>2005</v>
      </c>
      <c r="U282" s="407">
        <f t="shared" si="553"/>
        <v>1354824.7549999999</v>
      </c>
      <c r="V282" s="516" t="e" vm="113">
        <v>#VALUE!</v>
      </c>
    </row>
    <row r="283" spans="1:22" ht="45" customHeight="1" x14ac:dyDescent="0.3">
      <c r="A283" s="496"/>
      <c r="B283" s="513"/>
      <c r="C283" s="517"/>
      <c r="D283" s="515"/>
      <c r="E283" s="433"/>
      <c r="F283" s="435"/>
      <c r="G283" s="149">
        <f t="shared" si="515"/>
        <v>1</v>
      </c>
      <c r="H283" s="53" t="s">
        <v>2034</v>
      </c>
      <c r="I283" s="22">
        <f t="shared" si="579"/>
        <v>1218487.3949579832</v>
      </c>
      <c r="J283" s="23">
        <f t="shared" si="580"/>
        <v>19.000000000000004</v>
      </c>
      <c r="K283" s="22">
        <v>1450000</v>
      </c>
      <c r="L283" s="5">
        <f t="shared" si="587"/>
        <v>1450000</v>
      </c>
      <c r="M283" s="412"/>
      <c r="N283" s="412"/>
      <c r="O283" s="412"/>
      <c r="P283" s="86">
        <f t="shared" si="578"/>
        <v>1450000</v>
      </c>
      <c r="Q283" s="414"/>
      <c r="R283" s="412"/>
      <c r="S283" s="416"/>
      <c r="T283" s="418"/>
      <c r="U283" s="408">
        <f t="shared" si="553"/>
        <v>0</v>
      </c>
      <c r="V283" s="516"/>
    </row>
    <row r="284" spans="1:22" ht="45" customHeight="1" x14ac:dyDescent="0.3">
      <c r="A284" s="496">
        <v>140</v>
      </c>
      <c r="B284" s="512">
        <v>11151500</v>
      </c>
      <c r="C284" s="517" t="s">
        <v>369</v>
      </c>
      <c r="D284" s="518" t="s">
        <v>2038</v>
      </c>
      <c r="E284" s="432" t="s">
        <v>42</v>
      </c>
      <c r="F284" s="434" t="s">
        <v>72</v>
      </c>
      <c r="G284" s="149">
        <f t="shared" si="515"/>
        <v>1</v>
      </c>
      <c r="H284" s="24" t="s">
        <v>365</v>
      </c>
      <c r="I284" s="22">
        <f t="shared" si="579"/>
        <v>831680</v>
      </c>
      <c r="J284" s="23">
        <f t="shared" si="580"/>
        <v>18.999999999999993</v>
      </c>
      <c r="K284" s="169">
        <v>989699.2</v>
      </c>
      <c r="L284" s="5">
        <f t="shared" si="587"/>
        <v>989699.2</v>
      </c>
      <c r="M284" s="411">
        <f t="shared" ref="M284" si="648">IFERROR(AVERAGE(L284:L285),"")</f>
        <v>1369849.6</v>
      </c>
      <c r="N284" s="411">
        <f t="shared" ref="N284" si="649">IFERROR(HARMEAN(L284:L285),"")</f>
        <v>1264353.1085456389</v>
      </c>
      <c r="O284" s="411">
        <f t="shared" ref="O284" si="650">IFERROR(MEDIAN(L284:L285),"")</f>
        <v>1369849.6</v>
      </c>
      <c r="P284" s="86">
        <f t="shared" si="578"/>
        <v>989699.2</v>
      </c>
      <c r="Q284" s="413">
        <f t="shared" ref="Q284" si="651">IFERROR(SUM(P284:P285)/COUNTA(K284:K285),"")</f>
        <v>1369849.6</v>
      </c>
      <c r="R284" s="411">
        <f t="shared" ref="R284" si="652">IFERROR(_xlfn.STDEV.S(L284:L285),"")</f>
        <v>537613.85142155644</v>
      </c>
      <c r="S284" s="415">
        <f t="shared" ref="S284" si="653">IFERROR(R284/M284,"")</f>
        <v>0.39246195452519489</v>
      </c>
      <c r="T284" s="417" t="s">
        <v>2005</v>
      </c>
      <c r="U284" s="407">
        <f t="shared" si="553"/>
        <v>1369849.6</v>
      </c>
      <c r="V284" s="504" t="e" vm="114">
        <v>#VALUE!</v>
      </c>
    </row>
    <row r="285" spans="1:22" ht="45" customHeight="1" x14ac:dyDescent="0.3">
      <c r="A285" s="496"/>
      <c r="B285" s="513"/>
      <c r="C285" s="517"/>
      <c r="D285" s="515"/>
      <c r="E285" s="433"/>
      <c r="F285" s="435"/>
      <c r="G285" s="149">
        <f t="shared" si="515"/>
        <v>1</v>
      </c>
      <c r="H285" s="53" t="s">
        <v>2039</v>
      </c>
      <c r="I285" s="22">
        <f t="shared" si="579"/>
        <v>1470588.2352941178</v>
      </c>
      <c r="J285" s="23">
        <f t="shared" si="580"/>
        <v>18.999999999999986</v>
      </c>
      <c r="K285" s="22">
        <v>1750000</v>
      </c>
      <c r="L285" s="5">
        <f t="shared" si="587"/>
        <v>1750000</v>
      </c>
      <c r="M285" s="412"/>
      <c r="N285" s="412"/>
      <c r="O285" s="412"/>
      <c r="P285" s="86">
        <f t="shared" si="578"/>
        <v>1750000</v>
      </c>
      <c r="Q285" s="414"/>
      <c r="R285" s="412"/>
      <c r="S285" s="416"/>
      <c r="T285" s="418"/>
      <c r="U285" s="408">
        <f t="shared" si="553"/>
        <v>0</v>
      </c>
      <c r="V285" s="504"/>
    </row>
    <row r="286" spans="1:22" ht="45" customHeight="1" x14ac:dyDescent="0.3">
      <c r="A286" s="496">
        <v>141</v>
      </c>
      <c r="B286" s="512">
        <v>60122003</v>
      </c>
      <c r="C286" s="506" t="s">
        <v>370</v>
      </c>
      <c r="D286" s="514" t="s">
        <v>371</v>
      </c>
      <c r="E286" s="432"/>
      <c r="F286" s="434" t="s">
        <v>290</v>
      </c>
      <c r="G286" s="149">
        <f t="shared" si="515"/>
        <v>1</v>
      </c>
      <c r="H286" s="24" t="s">
        <v>2040</v>
      </c>
      <c r="I286" s="22">
        <f t="shared" si="579"/>
        <v>863.86554621848745</v>
      </c>
      <c r="J286" s="23">
        <f t="shared" si="580"/>
        <v>18.999999999999993</v>
      </c>
      <c r="K286" s="169">
        <v>1028</v>
      </c>
      <c r="L286" s="5">
        <f t="shared" si="587"/>
        <v>1028</v>
      </c>
      <c r="M286" s="411">
        <f>IFERROR(AVERAGE(L286:L287),"")</f>
        <v>2314</v>
      </c>
      <c r="N286" s="411">
        <f>IFERROR(HARMEAN(L286:L287),"")</f>
        <v>1599.3085566119273</v>
      </c>
      <c r="O286" s="411">
        <f>IFERROR(MEDIAN(L286:L287),"")</f>
        <v>2314</v>
      </c>
      <c r="P286" s="86">
        <f t="shared" si="578"/>
        <v>1028</v>
      </c>
      <c r="Q286" s="413">
        <f>IFERROR(SUM(P286:P287)/COUNTA(K286:K287),"")</f>
        <v>2314</v>
      </c>
      <c r="R286" s="411">
        <f>IFERROR(_xlfn.STDEV.S(L286:L287),"")</f>
        <v>1818.6786412118001</v>
      </c>
      <c r="S286" s="415">
        <f t="shared" ref="S286" si="654">IFERROR(R286/M286,"")</f>
        <v>0.78594582593422646</v>
      </c>
      <c r="T286" s="417" t="s">
        <v>2005</v>
      </c>
      <c r="U286" s="407">
        <f t="shared" si="553"/>
        <v>2314</v>
      </c>
      <c r="V286" s="503" t="e" vm="115">
        <v>#VALUE!</v>
      </c>
    </row>
    <row r="287" spans="1:22" ht="45" customHeight="1" x14ac:dyDescent="0.3">
      <c r="A287" s="496"/>
      <c r="B287" s="513"/>
      <c r="C287" s="506"/>
      <c r="D287" s="515"/>
      <c r="E287" s="433"/>
      <c r="F287" s="435"/>
      <c r="G287" s="149">
        <f t="shared" si="515"/>
        <v>1</v>
      </c>
      <c r="H287" s="24" t="s">
        <v>372</v>
      </c>
      <c r="I287" s="22">
        <f t="shared" si="579"/>
        <v>3025.2100840336134</v>
      </c>
      <c r="J287" s="23">
        <f t="shared" si="580"/>
        <v>19.000000000000004</v>
      </c>
      <c r="K287" s="169">
        <v>3600</v>
      </c>
      <c r="L287" s="5">
        <f t="shared" si="587"/>
        <v>3600</v>
      </c>
      <c r="M287" s="412"/>
      <c r="N287" s="412"/>
      <c r="O287" s="412"/>
      <c r="P287" s="86">
        <f t="shared" si="578"/>
        <v>3600</v>
      </c>
      <c r="Q287" s="414"/>
      <c r="R287" s="412"/>
      <c r="S287" s="416"/>
      <c r="T287" s="418"/>
      <c r="U287" s="408"/>
      <c r="V287" s="504"/>
    </row>
    <row r="288" spans="1:22" ht="45" customHeight="1" x14ac:dyDescent="0.3">
      <c r="A288" s="496">
        <v>142</v>
      </c>
      <c r="B288" s="409">
        <v>11151500</v>
      </c>
      <c r="C288" s="511" t="s">
        <v>374</v>
      </c>
      <c r="D288" s="453" t="s">
        <v>375</v>
      </c>
      <c r="E288" s="432" t="s">
        <v>108</v>
      </c>
      <c r="F288" s="434" t="s">
        <v>290</v>
      </c>
      <c r="G288" s="149">
        <f t="shared" si="515"/>
        <v>1</v>
      </c>
      <c r="H288" s="24" t="s">
        <v>376</v>
      </c>
      <c r="I288" s="22">
        <f t="shared" si="579"/>
        <v>4033.6134453781515</v>
      </c>
      <c r="J288" s="23">
        <f t="shared" si="580"/>
        <v>18.999999999999993</v>
      </c>
      <c r="K288" s="169">
        <v>4800</v>
      </c>
      <c r="L288" s="5">
        <f t="shared" si="587"/>
        <v>4800</v>
      </c>
      <c r="M288" s="411">
        <f t="shared" ref="M288" si="655">IFERROR(AVERAGE(L288:L289),"")</f>
        <v>5100</v>
      </c>
      <c r="N288" s="411">
        <f t="shared" ref="N288" si="656">IFERROR(HARMEAN(L288:L289),"")</f>
        <v>5082.3529411764703</v>
      </c>
      <c r="O288" s="411">
        <f t="shared" ref="O288" si="657">IFERROR(MEDIAN(L288:L289),"")</f>
        <v>5100</v>
      </c>
      <c r="P288" s="86">
        <f t="shared" si="578"/>
        <v>4800</v>
      </c>
      <c r="Q288" s="413">
        <f t="shared" ref="Q288" si="658">IFERROR(SUM(P288:P289)/COUNTA(K288:K289),"")</f>
        <v>5100</v>
      </c>
      <c r="R288" s="411">
        <f t="shared" ref="R288" si="659">IFERROR(_xlfn.STDEV.S(L288:L289),"")</f>
        <v>424.26406871192853</v>
      </c>
      <c r="S288" s="415">
        <f t="shared" ref="S288" si="660">IFERROR(R288/M288,"")</f>
        <v>8.3189033080770303E-2</v>
      </c>
      <c r="T288" s="417" t="s">
        <v>2005</v>
      </c>
      <c r="U288" s="407">
        <f t="shared" si="553"/>
        <v>5100</v>
      </c>
      <c r="V288" s="503" t="e" vm="116">
        <v>#VALUE!</v>
      </c>
    </row>
    <row r="289" spans="1:22" ht="45" customHeight="1" x14ac:dyDescent="0.3">
      <c r="A289" s="496"/>
      <c r="B289" s="266"/>
      <c r="C289" s="511"/>
      <c r="D289" s="454" t="s">
        <v>377</v>
      </c>
      <c r="E289" s="433"/>
      <c r="F289" s="435"/>
      <c r="G289" s="149">
        <f t="shared" si="515"/>
        <v>1</v>
      </c>
      <c r="H289" s="53" t="s">
        <v>386</v>
      </c>
      <c r="I289" s="22">
        <f t="shared" si="579"/>
        <v>4537.8151260504201</v>
      </c>
      <c r="J289" s="23">
        <f t="shared" si="580"/>
        <v>19.000000000000004</v>
      </c>
      <c r="K289" s="169">
        <v>5400</v>
      </c>
      <c r="L289" s="5">
        <f t="shared" si="587"/>
        <v>5400</v>
      </c>
      <c r="M289" s="412"/>
      <c r="N289" s="412"/>
      <c r="O289" s="412"/>
      <c r="P289" s="86">
        <f t="shared" si="578"/>
        <v>5400</v>
      </c>
      <c r="Q289" s="414"/>
      <c r="R289" s="412"/>
      <c r="S289" s="416"/>
      <c r="T289" s="418"/>
      <c r="U289" s="408">
        <f t="shared" si="553"/>
        <v>0</v>
      </c>
      <c r="V289" s="504"/>
    </row>
    <row r="290" spans="1:22" ht="45" customHeight="1" x14ac:dyDescent="0.3">
      <c r="A290" s="496">
        <v>143</v>
      </c>
      <c r="B290" s="409">
        <v>11151500</v>
      </c>
      <c r="C290" s="510" t="s">
        <v>378</v>
      </c>
      <c r="D290" s="453" t="s">
        <v>379</v>
      </c>
      <c r="E290" s="432" t="s">
        <v>108</v>
      </c>
      <c r="F290" s="434" t="s">
        <v>72</v>
      </c>
      <c r="G290" s="149">
        <f t="shared" si="515"/>
        <v>1</v>
      </c>
      <c r="H290" s="24" t="s">
        <v>380</v>
      </c>
      <c r="I290" s="22">
        <f t="shared" si="579"/>
        <v>108000</v>
      </c>
      <c r="J290" s="23">
        <f t="shared" si="580"/>
        <v>19</v>
      </c>
      <c r="K290" s="169">
        <v>128520</v>
      </c>
      <c r="L290" s="5">
        <f t="shared" si="587"/>
        <v>128520</v>
      </c>
      <c r="M290" s="411">
        <f t="shared" ref="M290" si="661">IFERROR(AVERAGE(L290:L291),"")</f>
        <v>110670</v>
      </c>
      <c r="N290" s="411">
        <f t="shared" ref="N290" si="662">IFERROR(HARMEAN(L290:L291),"")</f>
        <v>107790.96774193548</v>
      </c>
      <c r="O290" s="411">
        <f t="shared" ref="O290" si="663">IFERROR(MEDIAN(L290:L291),"")</f>
        <v>110670</v>
      </c>
      <c r="P290" s="86">
        <f t="shared" si="578"/>
        <v>128520</v>
      </c>
      <c r="Q290" s="413">
        <f t="shared" ref="Q290" si="664">IFERROR(SUM(P290:P291)/COUNTA(K290:K291),"")</f>
        <v>110670</v>
      </c>
      <c r="R290" s="411">
        <f t="shared" ref="R290" si="665">IFERROR(_xlfn.STDEV.S(L290:L291),"")</f>
        <v>25243.712088359745</v>
      </c>
      <c r="S290" s="415">
        <f t="shared" ref="S290" si="666">IFERROR(R290/M290,"")</f>
        <v>0.22809896167307983</v>
      </c>
      <c r="T290" s="417" t="s">
        <v>2005</v>
      </c>
      <c r="U290" s="407">
        <f t="shared" si="553"/>
        <v>110670</v>
      </c>
      <c r="V290" s="503" t="e" vm="117">
        <v>#VALUE!</v>
      </c>
    </row>
    <row r="291" spans="1:22" ht="45" customHeight="1" x14ac:dyDescent="0.3">
      <c r="A291" s="496"/>
      <c r="B291" s="266"/>
      <c r="C291" s="511"/>
      <c r="D291" s="454" t="s">
        <v>381</v>
      </c>
      <c r="E291" s="433"/>
      <c r="F291" s="435"/>
      <c r="G291" s="149">
        <f t="shared" si="515"/>
        <v>1</v>
      </c>
      <c r="H291" s="53" t="s">
        <v>376</v>
      </c>
      <c r="I291" s="22">
        <f t="shared" si="579"/>
        <v>78000</v>
      </c>
      <c r="J291" s="23">
        <f t="shared" si="580"/>
        <v>19</v>
      </c>
      <c r="K291" s="169">
        <v>92820</v>
      </c>
      <c r="L291" s="5">
        <f t="shared" si="587"/>
        <v>92820</v>
      </c>
      <c r="M291" s="412"/>
      <c r="N291" s="412"/>
      <c r="O291" s="412"/>
      <c r="P291" s="86">
        <f t="shared" si="578"/>
        <v>92820</v>
      </c>
      <c r="Q291" s="414"/>
      <c r="R291" s="412"/>
      <c r="S291" s="416"/>
      <c r="T291" s="418"/>
      <c r="U291" s="408">
        <f t="shared" si="553"/>
        <v>0</v>
      </c>
      <c r="V291" s="504"/>
    </row>
    <row r="292" spans="1:22" ht="45" customHeight="1" x14ac:dyDescent="0.3">
      <c r="A292" s="496">
        <v>144</v>
      </c>
      <c r="B292" s="409">
        <v>11151500</v>
      </c>
      <c r="C292" s="453" t="s">
        <v>382</v>
      </c>
      <c r="D292" s="453" t="s">
        <v>383</v>
      </c>
      <c r="E292" s="432" t="s">
        <v>108</v>
      </c>
      <c r="F292" s="434" t="s">
        <v>72</v>
      </c>
      <c r="G292" s="149">
        <f t="shared" si="515"/>
        <v>1</v>
      </c>
      <c r="H292" s="24" t="s">
        <v>182</v>
      </c>
      <c r="I292" s="22">
        <f t="shared" si="579"/>
        <v>58500</v>
      </c>
      <c r="J292" s="23">
        <f t="shared" si="580"/>
        <v>19</v>
      </c>
      <c r="K292" s="169">
        <v>69615</v>
      </c>
      <c r="L292" s="5">
        <f t="shared" si="587"/>
        <v>69615</v>
      </c>
      <c r="M292" s="411">
        <f t="shared" ref="M292" si="667">IFERROR(AVERAGE(L292:L293),"")</f>
        <v>58607.5</v>
      </c>
      <c r="N292" s="411">
        <f t="shared" ref="N292" si="668">IFERROR(HARMEAN(L292:L293),"")</f>
        <v>56540.10152284264</v>
      </c>
      <c r="O292" s="411">
        <f t="shared" ref="O292" si="669">IFERROR(MEDIAN(L292:L293),"")</f>
        <v>58607.5</v>
      </c>
      <c r="P292" s="86">
        <f t="shared" si="578"/>
        <v>69615</v>
      </c>
      <c r="Q292" s="413">
        <f t="shared" ref="Q292" si="670">IFERROR(SUM(P292:P293)/COUNTA(K292:K293),"")</f>
        <v>58607.5</v>
      </c>
      <c r="R292" s="411">
        <f t="shared" ref="R292" si="671">IFERROR(_xlfn.STDEV.S(L292:L293),"")</f>
        <v>15566.955787821844</v>
      </c>
      <c r="S292" s="415">
        <f t="shared" ref="S292" si="672">IFERROR(R292/M292,"")</f>
        <v>0.265613714760429</v>
      </c>
      <c r="T292" s="417" t="s">
        <v>2005</v>
      </c>
      <c r="U292" s="407">
        <f t="shared" si="553"/>
        <v>58607.5</v>
      </c>
      <c r="V292" s="503" t="e" vm="118">
        <v>#VALUE!</v>
      </c>
    </row>
    <row r="293" spans="1:22" ht="45" customHeight="1" x14ac:dyDescent="0.3">
      <c r="A293" s="496"/>
      <c r="B293" s="266"/>
      <c r="C293" s="454"/>
      <c r="D293" s="454"/>
      <c r="E293" s="433"/>
      <c r="F293" s="435"/>
      <c r="G293" s="149">
        <f t="shared" si="515"/>
        <v>1</v>
      </c>
      <c r="H293" s="53" t="s">
        <v>376</v>
      </c>
      <c r="I293" s="22">
        <f t="shared" si="579"/>
        <v>40000</v>
      </c>
      <c r="J293" s="23">
        <f t="shared" si="580"/>
        <v>19</v>
      </c>
      <c r="K293" s="169">
        <v>47600</v>
      </c>
      <c r="L293" s="5">
        <f t="shared" si="587"/>
        <v>47600</v>
      </c>
      <c r="M293" s="412"/>
      <c r="N293" s="412"/>
      <c r="O293" s="412"/>
      <c r="P293" s="86">
        <f t="shared" si="578"/>
        <v>47600</v>
      </c>
      <c r="Q293" s="414"/>
      <c r="R293" s="412"/>
      <c r="S293" s="416"/>
      <c r="T293" s="418"/>
      <c r="U293" s="408">
        <f t="shared" si="553"/>
        <v>0</v>
      </c>
      <c r="V293" s="504"/>
    </row>
    <row r="294" spans="1:22" ht="45" customHeight="1" x14ac:dyDescent="0.3">
      <c r="A294" s="496">
        <v>145</v>
      </c>
      <c r="B294" s="409">
        <v>11151500</v>
      </c>
      <c r="C294" s="453" t="s">
        <v>384</v>
      </c>
      <c r="D294" s="453" t="s">
        <v>385</v>
      </c>
      <c r="E294" s="432" t="s">
        <v>108</v>
      </c>
      <c r="F294" s="434" t="s">
        <v>72</v>
      </c>
      <c r="G294" s="149">
        <f t="shared" si="515"/>
        <v>1</v>
      </c>
      <c r="H294" s="24" t="s">
        <v>376</v>
      </c>
      <c r="I294" s="22">
        <f t="shared" si="579"/>
        <v>56300</v>
      </c>
      <c r="J294" s="23">
        <f t="shared" si="580"/>
        <v>19</v>
      </c>
      <c r="K294" s="169">
        <v>66997</v>
      </c>
      <c r="L294" s="5">
        <f t="shared" si="587"/>
        <v>66997</v>
      </c>
      <c r="M294" s="411">
        <f t="shared" ref="M294" si="673">IFERROR(AVERAGE(L294:L295),"")</f>
        <v>73958.5</v>
      </c>
      <c r="N294" s="411">
        <f t="shared" ref="N294" si="674">IFERROR(HARMEAN(L294:L295),"")</f>
        <v>73303.234111021724</v>
      </c>
      <c r="O294" s="411">
        <f t="shared" ref="O294" si="675">IFERROR(MEDIAN(L294:L295),"")</f>
        <v>73958.5</v>
      </c>
      <c r="P294" s="86">
        <f t="shared" si="578"/>
        <v>66997</v>
      </c>
      <c r="Q294" s="413">
        <f t="shared" ref="Q294" si="676">IFERROR(SUM(P294:P295)/COUNTA(K294:K295),"")</f>
        <v>73958.5</v>
      </c>
      <c r="R294" s="411">
        <f t="shared" ref="R294" si="677">IFERROR(_xlfn.STDEV.S(L294:L295),"")</f>
        <v>9845.047714460301</v>
      </c>
      <c r="S294" s="415">
        <f t="shared" ref="S294" si="678">IFERROR(R294/M294,"")</f>
        <v>0.13311583813165898</v>
      </c>
      <c r="T294" s="417" t="s">
        <v>2005</v>
      </c>
      <c r="U294" s="407">
        <f t="shared" si="553"/>
        <v>73958.5</v>
      </c>
      <c r="V294" s="503" t="e" vm="119">
        <v>#VALUE!</v>
      </c>
    </row>
    <row r="295" spans="1:22" ht="45" customHeight="1" x14ac:dyDescent="0.3">
      <c r="A295" s="496"/>
      <c r="B295" s="266"/>
      <c r="C295" s="454"/>
      <c r="D295" s="454"/>
      <c r="E295" s="433"/>
      <c r="F295" s="435"/>
      <c r="G295" s="149">
        <f t="shared" si="515"/>
        <v>1</v>
      </c>
      <c r="H295" s="53" t="s">
        <v>386</v>
      </c>
      <c r="I295" s="22">
        <f t="shared" si="579"/>
        <v>68000</v>
      </c>
      <c r="J295" s="23">
        <f t="shared" si="580"/>
        <v>19</v>
      </c>
      <c r="K295" s="169">
        <v>80920</v>
      </c>
      <c r="L295" s="5">
        <f t="shared" si="587"/>
        <v>80920</v>
      </c>
      <c r="M295" s="412"/>
      <c r="N295" s="412"/>
      <c r="O295" s="412"/>
      <c r="P295" s="86">
        <f t="shared" si="578"/>
        <v>80920</v>
      </c>
      <c r="Q295" s="414"/>
      <c r="R295" s="412"/>
      <c r="S295" s="416"/>
      <c r="T295" s="418"/>
      <c r="U295" s="408">
        <f t="shared" si="553"/>
        <v>0</v>
      </c>
      <c r="V295" s="504"/>
    </row>
    <row r="296" spans="1:22" ht="45" customHeight="1" x14ac:dyDescent="0.3">
      <c r="A296" s="496">
        <v>146</v>
      </c>
      <c r="B296" s="409">
        <v>11151500</v>
      </c>
      <c r="C296" s="453" t="s">
        <v>387</v>
      </c>
      <c r="D296" s="453" t="s">
        <v>388</v>
      </c>
      <c r="E296" s="432" t="s">
        <v>108</v>
      </c>
      <c r="F296" s="434" t="s">
        <v>72</v>
      </c>
      <c r="G296" s="149">
        <f t="shared" si="515"/>
        <v>1</v>
      </c>
      <c r="H296" s="24" t="s">
        <v>376</v>
      </c>
      <c r="I296" s="22">
        <f t="shared" si="579"/>
        <v>56300</v>
      </c>
      <c r="J296" s="23">
        <f t="shared" si="580"/>
        <v>19</v>
      </c>
      <c r="K296" s="169">
        <v>66997</v>
      </c>
      <c r="L296" s="5">
        <f t="shared" si="587"/>
        <v>66997</v>
      </c>
      <c r="M296" s="411">
        <f t="shared" ref="M296" si="679">IFERROR(AVERAGE(L296:L297),"")</f>
        <v>65628.5</v>
      </c>
      <c r="N296" s="411">
        <f t="shared" ref="N296" si="680">IFERROR(HARMEAN(L296:L297),"")</f>
        <v>65599.963735267462</v>
      </c>
      <c r="O296" s="411">
        <f t="shared" ref="O296" si="681">IFERROR(MEDIAN(L296:L297),"")</f>
        <v>65628.5</v>
      </c>
      <c r="P296" s="86">
        <f t="shared" si="578"/>
        <v>66997</v>
      </c>
      <c r="Q296" s="413">
        <f t="shared" ref="Q296" si="682">IFERROR(SUM(P296:P297)/COUNTA(K296:K297),"")</f>
        <v>65628.5</v>
      </c>
      <c r="R296" s="411">
        <f t="shared" ref="R296" si="683">IFERROR(_xlfn.STDEV.S(L296:L297),"")</f>
        <v>1935.3512601075806</v>
      </c>
      <c r="S296" s="415">
        <f t="shared" ref="S296" si="684">IFERROR(R296/M296,"")</f>
        <v>2.9489494047671067E-2</v>
      </c>
      <c r="T296" s="417" t="s">
        <v>2005</v>
      </c>
      <c r="U296" s="407">
        <f t="shared" si="553"/>
        <v>65628.5</v>
      </c>
      <c r="V296" s="173"/>
    </row>
    <row r="297" spans="1:22" ht="45" customHeight="1" x14ac:dyDescent="0.3">
      <c r="A297" s="496"/>
      <c r="B297" s="266"/>
      <c r="C297" s="454"/>
      <c r="D297" s="454"/>
      <c r="E297" s="433"/>
      <c r="F297" s="435"/>
      <c r="G297" s="149">
        <f t="shared" si="515"/>
        <v>1</v>
      </c>
      <c r="H297" s="53" t="s">
        <v>380</v>
      </c>
      <c r="I297" s="22">
        <f t="shared" si="579"/>
        <v>54000</v>
      </c>
      <c r="J297" s="23">
        <f t="shared" si="580"/>
        <v>19</v>
      </c>
      <c r="K297" s="169">
        <v>64260</v>
      </c>
      <c r="L297" s="5">
        <f t="shared" si="587"/>
        <v>64260</v>
      </c>
      <c r="M297" s="412"/>
      <c r="N297" s="412"/>
      <c r="O297" s="412"/>
      <c r="P297" s="86">
        <f t="shared" si="578"/>
        <v>64260</v>
      </c>
      <c r="Q297" s="414"/>
      <c r="R297" s="412"/>
      <c r="S297" s="416"/>
      <c r="T297" s="418"/>
      <c r="U297" s="408">
        <f t="shared" si="553"/>
        <v>0</v>
      </c>
      <c r="V297" s="173"/>
    </row>
    <row r="298" spans="1:22" ht="45" customHeight="1" x14ac:dyDescent="0.3">
      <c r="A298" s="496">
        <v>147</v>
      </c>
      <c r="B298" s="409">
        <v>11151500</v>
      </c>
      <c r="C298" s="453" t="s">
        <v>389</v>
      </c>
      <c r="D298" s="453" t="s">
        <v>390</v>
      </c>
      <c r="E298" s="432" t="s">
        <v>108</v>
      </c>
      <c r="F298" s="434" t="s">
        <v>72</v>
      </c>
      <c r="G298" s="149">
        <f t="shared" si="515"/>
        <v>1</v>
      </c>
      <c r="H298" s="24" t="s">
        <v>386</v>
      </c>
      <c r="I298" s="22">
        <f t="shared" si="579"/>
        <v>70000</v>
      </c>
      <c r="J298" s="23">
        <f t="shared" si="580"/>
        <v>19</v>
      </c>
      <c r="K298" s="169">
        <v>83300</v>
      </c>
      <c r="L298" s="5">
        <f t="shared" si="587"/>
        <v>83300</v>
      </c>
      <c r="M298" s="411">
        <f t="shared" ref="M298" si="685">IFERROR(AVERAGE(L298:L299),"")</f>
        <v>67299.5</v>
      </c>
      <c r="N298" s="411">
        <f t="shared" ref="N298" si="686">IFERROR(HARMEAN(L298:L299),"")</f>
        <v>63495.370693690144</v>
      </c>
      <c r="O298" s="411">
        <f t="shared" ref="O298" si="687">IFERROR(MEDIAN(L298:L299),"")</f>
        <v>67299.5</v>
      </c>
      <c r="P298" s="86">
        <f t="shared" si="578"/>
        <v>83300</v>
      </c>
      <c r="Q298" s="413">
        <f t="shared" ref="Q298" si="688">IFERROR(SUM(P298:P299)/COUNTA(K298:K299),"")</f>
        <v>67299.5</v>
      </c>
      <c r="R298" s="411">
        <f t="shared" ref="R298" si="689">IFERROR(_xlfn.STDEV.S(L298:L299),"")</f>
        <v>22628.124104750706</v>
      </c>
      <c r="S298" s="415">
        <f t="shared" ref="S298" si="690">IFERROR(R298/M298,"")</f>
        <v>0.33623019643163332</v>
      </c>
      <c r="T298" s="417" t="s">
        <v>2005</v>
      </c>
      <c r="U298" s="407">
        <f t="shared" si="553"/>
        <v>67299.5</v>
      </c>
      <c r="V298" s="503" t="e" vm="120">
        <v>#VALUE!</v>
      </c>
    </row>
    <row r="299" spans="1:22" ht="45" customHeight="1" x14ac:dyDescent="0.3">
      <c r="A299" s="496"/>
      <c r="B299" s="266"/>
      <c r="C299" s="454"/>
      <c r="D299" s="454"/>
      <c r="E299" s="433"/>
      <c r="F299" s="435"/>
      <c r="G299" s="149">
        <f t="shared" si="515"/>
        <v>1</v>
      </c>
      <c r="H299" s="53" t="s">
        <v>2041</v>
      </c>
      <c r="I299" s="22">
        <f t="shared" si="579"/>
        <v>43108.403361344543</v>
      </c>
      <c r="J299" s="23">
        <v>19</v>
      </c>
      <c r="K299" s="22">
        <v>51299</v>
      </c>
      <c r="L299" s="5">
        <f t="shared" si="587"/>
        <v>51299</v>
      </c>
      <c r="M299" s="412"/>
      <c r="N299" s="412"/>
      <c r="O299" s="412"/>
      <c r="P299" s="86">
        <f t="shared" si="578"/>
        <v>51299</v>
      </c>
      <c r="Q299" s="414"/>
      <c r="R299" s="412"/>
      <c r="S299" s="416"/>
      <c r="T299" s="418"/>
      <c r="U299" s="408">
        <f t="shared" si="553"/>
        <v>0</v>
      </c>
      <c r="V299" s="504"/>
    </row>
    <row r="300" spans="1:22" ht="45" customHeight="1" x14ac:dyDescent="0.3">
      <c r="A300" s="496">
        <v>148</v>
      </c>
      <c r="B300" s="409">
        <v>11151500</v>
      </c>
      <c r="C300" s="453" t="s">
        <v>2042</v>
      </c>
      <c r="D300" s="453" t="s">
        <v>392</v>
      </c>
      <c r="E300" s="432" t="s">
        <v>108</v>
      </c>
      <c r="F300" s="434" t="s">
        <v>72</v>
      </c>
      <c r="G300" s="149">
        <f t="shared" si="515"/>
        <v>1</v>
      </c>
      <c r="H300" s="24" t="s">
        <v>2043</v>
      </c>
      <c r="I300" s="22">
        <f t="shared" si="579"/>
        <v>70588.23529411765</v>
      </c>
      <c r="J300" s="23">
        <v>19</v>
      </c>
      <c r="K300" s="22">
        <v>84000</v>
      </c>
      <c r="L300" s="5">
        <f t="shared" si="587"/>
        <v>84000</v>
      </c>
      <c r="M300" s="411">
        <f t="shared" ref="M300" si="691">IFERROR(AVERAGE(L300:L301),"")</f>
        <v>43159.5</v>
      </c>
      <c r="N300" s="411">
        <f t="shared" ref="N300" si="692">IFERROR(HARMEAN(L300:L301),"")</f>
        <v>4513.3979772703578</v>
      </c>
      <c r="O300" s="411">
        <f t="shared" ref="O300" si="693">IFERROR(MEDIAN(L300:L301),"")</f>
        <v>43159.5</v>
      </c>
      <c r="P300" s="86">
        <f t="shared" si="578"/>
        <v>84000</v>
      </c>
      <c r="Q300" s="413">
        <f t="shared" ref="Q300" si="694">IFERROR(SUM(P300:P301)/COUNTA(K300:K301),"")</f>
        <v>43159.5</v>
      </c>
      <c r="R300" s="411">
        <f t="shared" ref="R300" si="695">IFERROR(_xlfn.STDEV.S(L300:L301),"")</f>
        <v>57757.188994098389</v>
      </c>
      <c r="S300" s="415">
        <f t="shared" ref="S300" si="696">IFERROR(R300/M300,"")</f>
        <v>1.3382265548511543</v>
      </c>
      <c r="T300" s="417" t="s">
        <v>2005</v>
      </c>
      <c r="U300" s="407">
        <f t="shared" si="553"/>
        <v>43159.5</v>
      </c>
      <c r="V300" s="503" t="e" vm="121">
        <v>#VALUE!</v>
      </c>
    </row>
    <row r="301" spans="1:22" ht="45" customHeight="1" x14ac:dyDescent="0.3">
      <c r="A301" s="496"/>
      <c r="B301" s="266"/>
      <c r="C301" s="454"/>
      <c r="D301" s="454"/>
      <c r="E301" s="433"/>
      <c r="F301" s="435"/>
      <c r="G301" s="149">
        <f t="shared" si="515"/>
        <v>1</v>
      </c>
      <c r="H301" s="53" t="s">
        <v>2044</v>
      </c>
      <c r="I301" s="22">
        <f t="shared" si="579"/>
        <v>1948.7394957983195</v>
      </c>
      <c r="J301" s="23">
        <v>19</v>
      </c>
      <c r="K301" s="22">
        <v>2319</v>
      </c>
      <c r="L301" s="5">
        <f t="shared" si="587"/>
        <v>2319</v>
      </c>
      <c r="M301" s="412"/>
      <c r="N301" s="412"/>
      <c r="O301" s="412"/>
      <c r="P301" s="86">
        <f t="shared" si="578"/>
        <v>2319</v>
      </c>
      <c r="Q301" s="414"/>
      <c r="R301" s="412"/>
      <c r="S301" s="416"/>
      <c r="T301" s="418"/>
      <c r="U301" s="408">
        <f t="shared" si="553"/>
        <v>0</v>
      </c>
      <c r="V301" s="504"/>
    </row>
    <row r="302" spans="1:22" ht="45" customHeight="1" x14ac:dyDescent="0.3">
      <c r="A302" s="496">
        <v>149</v>
      </c>
      <c r="B302" s="484">
        <v>11151500</v>
      </c>
      <c r="C302" s="453" t="s">
        <v>393</v>
      </c>
      <c r="D302" s="453" t="s">
        <v>394</v>
      </c>
      <c r="E302" s="432" t="s">
        <v>108</v>
      </c>
      <c r="F302" s="434" t="s">
        <v>72</v>
      </c>
      <c r="G302" s="149">
        <f t="shared" si="515"/>
        <v>1</v>
      </c>
      <c r="H302" s="24" t="s">
        <v>182</v>
      </c>
      <c r="I302" s="22">
        <f t="shared" si="579"/>
        <v>4873.9495798319331</v>
      </c>
      <c r="J302" s="23">
        <v>19</v>
      </c>
      <c r="K302" s="22">
        <v>5800</v>
      </c>
      <c r="L302" s="5">
        <f t="shared" si="587"/>
        <v>5800</v>
      </c>
      <c r="M302" s="411">
        <f t="shared" ref="M302" si="697">IFERROR(AVERAGE(L302:L303),"")</f>
        <v>3875</v>
      </c>
      <c r="N302" s="411">
        <f t="shared" ref="N302" si="698">IFERROR(HARMEAN(L302:L303),"")</f>
        <v>2918.7096774193546</v>
      </c>
      <c r="O302" s="411">
        <f t="shared" ref="O302" si="699">IFERROR(MEDIAN(L302:L303),"")</f>
        <v>3875</v>
      </c>
      <c r="P302" s="86">
        <f t="shared" si="578"/>
        <v>5800</v>
      </c>
      <c r="Q302" s="413">
        <f t="shared" ref="Q302" si="700">IFERROR(SUM(P302:P303)/COUNTA(K302:K303),"")</f>
        <v>3875</v>
      </c>
      <c r="R302" s="411">
        <f t="shared" ref="R302" si="701">IFERROR(_xlfn.STDEV.S(L302:L303),"")</f>
        <v>2722.3611075682079</v>
      </c>
      <c r="S302" s="415">
        <f t="shared" ref="S302" si="702">IFERROR(R302/M302,"")</f>
        <v>0.70254480195308588</v>
      </c>
      <c r="T302" s="417" t="s">
        <v>2005</v>
      </c>
      <c r="U302" s="407">
        <f t="shared" si="553"/>
        <v>3875</v>
      </c>
      <c r="V302" s="503" t="e" vm="122">
        <v>#VALUE!</v>
      </c>
    </row>
    <row r="303" spans="1:22" ht="45" customHeight="1" x14ac:dyDescent="0.3">
      <c r="A303" s="496"/>
      <c r="B303" s="509"/>
      <c r="C303" s="454"/>
      <c r="D303" s="454"/>
      <c r="E303" s="433"/>
      <c r="F303" s="435"/>
      <c r="G303" s="149">
        <f t="shared" ref="G303:G311" si="703">G302</f>
        <v>1</v>
      </c>
      <c r="H303" s="53" t="s">
        <v>2041</v>
      </c>
      <c r="I303" s="22">
        <f t="shared" si="579"/>
        <v>1638.6554621848741</v>
      </c>
      <c r="J303" s="23">
        <v>19</v>
      </c>
      <c r="K303" s="22">
        <v>1950</v>
      </c>
      <c r="L303" s="5">
        <f t="shared" si="587"/>
        <v>1950</v>
      </c>
      <c r="M303" s="412"/>
      <c r="N303" s="412"/>
      <c r="O303" s="412"/>
      <c r="P303" s="86">
        <f t="shared" si="578"/>
        <v>1950</v>
      </c>
      <c r="Q303" s="414"/>
      <c r="R303" s="412"/>
      <c r="S303" s="416"/>
      <c r="T303" s="418"/>
      <c r="U303" s="408">
        <f t="shared" si="553"/>
        <v>0</v>
      </c>
      <c r="V303" s="504"/>
    </row>
    <row r="304" spans="1:22" ht="45" customHeight="1" x14ac:dyDescent="0.3">
      <c r="A304" s="496">
        <v>150</v>
      </c>
      <c r="B304" s="484">
        <v>44121618</v>
      </c>
      <c r="C304" s="453" t="s">
        <v>396</v>
      </c>
      <c r="D304" s="453" t="s">
        <v>397</v>
      </c>
      <c r="E304" s="432" t="s">
        <v>78</v>
      </c>
      <c r="F304" s="434" t="s">
        <v>79</v>
      </c>
      <c r="G304" s="149">
        <f t="shared" si="703"/>
        <v>1</v>
      </c>
      <c r="H304" s="24" t="s">
        <v>398</v>
      </c>
      <c r="I304" s="22">
        <f t="shared" si="579"/>
        <v>6722.6890756302528</v>
      </c>
      <c r="J304" s="23">
        <f t="shared" si="580"/>
        <v>18.999999999999989</v>
      </c>
      <c r="K304" s="169">
        <v>8000</v>
      </c>
      <c r="L304" s="5">
        <f t="shared" si="587"/>
        <v>8000</v>
      </c>
      <c r="M304" s="411">
        <f t="shared" ref="M304" si="704">IFERROR(AVERAGE(L304:L305),"")</f>
        <v>9445</v>
      </c>
      <c r="N304" s="411">
        <f t="shared" ref="N304" si="705">IFERROR(HARMEAN(L304:L305),"")</f>
        <v>9223.9280042350438</v>
      </c>
      <c r="O304" s="411">
        <f t="shared" ref="O304" si="706">IFERROR(MEDIAN(L304:L305),"")</f>
        <v>9445</v>
      </c>
      <c r="P304" s="86">
        <f t="shared" si="578"/>
        <v>8000</v>
      </c>
      <c r="Q304" s="413">
        <f t="shared" ref="Q304" si="707">IFERROR(SUM(P304:P305)/COUNTA(K304:K305),"")</f>
        <v>9445</v>
      </c>
      <c r="R304" s="411">
        <f t="shared" ref="R304" si="708">IFERROR(_xlfn.STDEV.S(L304:L305),"")</f>
        <v>2043.5385976291223</v>
      </c>
      <c r="S304" s="415">
        <f t="shared" ref="S304" si="709">IFERROR(R304/M304,"")</f>
        <v>0.21636194786967944</v>
      </c>
      <c r="T304" s="417" t="s">
        <v>2005</v>
      </c>
      <c r="U304" s="407">
        <f t="shared" si="553"/>
        <v>9445</v>
      </c>
      <c r="V304" s="503" t="e" vm="123">
        <v>#VALUE!</v>
      </c>
    </row>
    <row r="305" spans="1:22" ht="45" customHeight="1" x14ac:dyDescent="0.3">
      <c r="A305" s="496"/>
      <c r="B305" s="509"/>
      <c r="C305" s="454"/>
      <c r="D305" s="454"/>
      <c r="E305" s="433"/>
      <c r="F305" s="435"/>
      <c r="G305" s="149">
        <f t="shared" si="703"/>
        <v>1</v>
      </c>
      <c r="H305" s="53" t="s">
        <v>399</v>
      </c>
      <c r="I305" s="22">
        <f t="shared" si="579"/>
        <v>9151.2605042016803</v>
      </c>
      <c r="J305" s="23">
        <f t="shared" si="580"/>
        <v>19.000000000000007</v>
      </c>
      <c r="K305" s="169">
        <v>10890</v>
      </c>
      <c r="L305" s="5">
        <f t="shared" si="587"/>
        <v>10890</v>
      </c>
      <c r="M305" s="412"/>
      <c r="N305" s="412"/>
      <c r="O305" s="412"/>
      <c r="P305" s="86">
        <f t="shared" si="578"/>
        <v>10890</v>
      </c>
      <c r="Q305" s="414"/>
      <c r="R305" s="412"/>
      <c r="S305" s="416"/>
      <c r="T305" s="418"/>
      <c r="U305" s="408">
        <f t="shared" si="553"/>
        <v>0</v>
      </c>
      <c r="V305" s="504"/>
    </row>
    <row r="306" spans="1:22" ht="45" customHeight="1" x14ac:dyDescent="0.3">
      <c r="A306" s="496">
        <v>151</v>
      </c>
      <c r="B306" s="484">
        <v>44121618</v>
      </c>
      <c r="C306" s="453" t="s">
        <v>400</v>
      </c>
      <c r="D306" s="453" t="s">
        <v>401</v>
      </c>
      <c r="E306" s="432" t="s">
        <v>78</v>
      </c>
      <c r="F306" s="434" t="s">
        <v>79</v>
      </c>
      <c r="G306" s="149">
        <f t="shared" si="703"/>
        <v>1</v>
      </c>
      <c r="H306" s="24" t="s">
        <v>182</v>
      </c>
      <c r="I306" s="22">
        <f t="shared" si="579"/>
        <v>18067.226890756305</v>
      </c>
      <c r="J306" s="23">
        <f t="shared" si="580"/>
        <v>18.999999999999986</v>
      </c>
      <c r="K306" s="169">
        <v>21500</v>
      </c>
      <c r="L306" s="5">
        <f t="shared" si="587"/>
        <v>21500</v>
      </c>
      <c r="M306" s="411">
        <f t="shared" ref="M306" si="710">IFERROR(AVERAGE(L306:L307),"")</f>
        <v>21750</v>
      </c>
      <c r="N306" s="411">
        <f t="shared" ref="N306" si="711">IFERROR(HARMEAN(L306:L307),"")</f>
        <v>21747.126436781611</v>
      </c>
      <c r="O306" s="411">
        <f t="shared" ref="O306" si="712">IFERROR(MEDIAN(L306:L307),"")</f>
        <v>21750</v>
      </c>
      <c r="P306" s="86">
        <f t="shared" si="578"/>
        <v>21500</v>
      </c>
      <c r="Q306" s="413">
        <f t="shared" ref="Q306" si="713">IFERROR(SUM(P306:P307)/COUNTA(K306:K307),"")</f>
        <v>21750</v>
      </c>
      <c r="R306" s="411">
        <f t="shared" ref="R306" si="714">IFERROR(_xlfn.STDEV.S(L306:L307),"")</f>
        <v>353.55339059327378</v>
      </c>
      <c r="S306" s="415">
        <f t="shared" ref="S306" si="715">IFERROR(R306/M306,"")</f>
        <v>1.6255328303139024E-2</v>
      </c>
      <c r="T306" s="417" t="s">
        <v>2005</v>
      </c>
      <c r="U306" s="407">
        <f t="shared" si="553"/>
        <v>21750</v>
      </c>
      <c r="V306" s="503" t="e" vm="124">
        <v>#VALUE!</v>
      </c>
    </row>
    <row r="307" spans="1:22" ht="45" customHeight="1" x14ac:dyDescent="0.3">
      <c r="A307" s="496"/>
      <c r="B307" s="509"/>
      <c r="C307" s="454"/>
      <c r="D307" s="454"/>
      <c r="E307" s="433"/>
      <c r="F307" s="435"/>
      <c r="G307" s="149">
        <f t="shared" si="703"/>
        <v>1</v>
      </c>
      <c r="H307" s="53" t="s">
        <v>402</v>
      </c>
      <c r="I307" s="22">
        <f t="shared" si="579"/>
        <v>18487.394957983193</v>
      </c>
      <c r="J307" s="23">
        <f t="shared" si="580"/>
        <v>19</v>
      </c>
      <c r="K307" s="169">
        <v>22000</v>
      </c>
      <c r="L307" s="5">
        <f t="shared" si="587"/>
        <v>22000</v>
      </c>
      <c r="M307" s="412"/>
      <c r="N307" s="412"/>
      <c r="O307" s="412"/>
      <c r="P307" s="86">
        <f t="shared" si="578"/>
        <v>22000</v>
      </c>
      <c r="Q307" s="414"/>
      <c r="R307" s="412"/>
      <c r="S307" s="416"/>
      <c r="T307" s="418"/>
      <c r="U307" s="408">
        <f t="shared" si="553"/>
        <v>0</v>
      </c>
      <c r="V307" s="504"/>
    </row>
    <row r="308" spans="1:22" ht="45" customHeight="1" x14ac:dyDescent="0.3">
      <c r="A308" s="496">
        <v>152</v>
      </c>
      <c r="B308" s="484">
        <v>44121618</v>
      </c>
      <c r="C308" s="453" t="s">
        <v>404</v>
      </c>
      <c r="D308" s="453" t="s">
        <v>405</v>
      </c>
      <c r="E308" s="432" t="s">
        <v>78</v>
      </c>
      <c r="F308" s="434" t="s">
        <v>79</v>
      </c>
      <c r="G308" s="149">
        <f t="shared" si="703"/>
        <v>1</v>
      </c>
      <c r="H308" s="24" t="s">
        <v>398</v>
      </c>
      <c r="I308" s="22">
        <f t="shared" si="579"/>
        <v>2800</v>
      </c>
      <c r="J308" s="23">
        <f t="shared" si="580"/>
        <v>19</v>
      </c>
      <c r="K308" s="169">
        <v>3332</v>
      </c>
      <c r="L308" s="5">
        <f t="shared" si="587"/>
        <v>3332</v>
      </c>
      <c r="M308" s="411">
        <f t="shared" ref="M308" si="716">IFERROR(AVERAGE(L308:L309),"")</f>
        <v>3310.5</v>
      </c>
      <c r="N308" s="411">
        <f t="shared" ref="N308" si="717">IFERROR(HARMEAN(L308:L309),"")</f>
        <v>3310.360368524392</v>
      </c>
      <c r="O308" s="411">
        <f t="shared" ref="O308" si="718">IFERROR(MEDIAN(L308:L309),"")</f>
        <v>3310.5</v>
      </c>
      <c r="P308" s="86">
        <f t="shared" si="578"/>
        <v>3332</v>
      </c>
      <c r="Q308" s="413">
        <f t="shared" ref="Q308" si="719">IFERROR(SUM(P308:P309)/COUNTA(K308:K309),"")</f>
        <v>3310.5</v>
      </c>
      <c r="R308" s="411">
        <f t="shared" ref="R308" si="720">IFERROR(_xlfn.STDEV.S(L308:L309),"")</f>
        <v>30.405591591021544</v>
      </c>
      <c r="S308" s="415">
        <f t="shared" ref="S308" si="721">IFERROR(R308/M308,"")</f>
        <v>9.1845919320409433E-3</v>
      </c>
      <c r="T308" s="417" t="s">
        <v>2005</v>
      </c>
      <c r="U308" s="407">
        <f t="shared" si="553"/>
        <v>3310.5</v>
      </c>
      <c r="V308" s="503" t="e" vm="125">
        <v>#VALUE!</v>
      </c>
    </row>
    <row r="309" spans="1:22" ht="45" customHeight="1" x14ac:dyDescent="0.3">
      <c r="A309" s="496"/>
      <c r="B309" s="509"/>
      <c r="C309" s="454"/>
      <c r="D309" s="454"/>
      <c r="E309" s="433"/>
      <c r="F309" s="435"/>
      <c r="G309" s="149">
        <f t="shared" si="703"/>
        <v>1</v>
      </c>
      <c r="H309" s="53" t="s">
        <v>406</v>
      </c>
      <c r="I309" s="22">
        <f t="shared" si="579"/>
        <v>2763.8655462184875</v>
      </c>
      <c r="J309" s="23">
        <f t="shared" si="580"/>
        <v>18.999999999999996</v>
      </c>
      <c r="K309" s="169">
        <v>3289</v>
      </c>
      <c r="L309" s="5">
        <f t="shared" si="587"/>
        <v>3289</v>
      </c>
      <c r="M309" s="412"/>
      <c r="N309" s="412"/>
      <c r="O309" s="412"/>
      <c r="P309" s="86">
        <f t="shared" si="578"/>
        <v>3289</v>
      </c>
      <c r="Q309" s="414"/>
      <c r="R309" s="412"/>
      <c r="S309" s="416"/>
      <c r="T309" s="418"/>
      <c r="U309" s="408">
        <f t="shared" si="553"/>
        <v>0</v>
      </c>
      <c r="V309" s="504"/>
    </row>
    <row r="310" spans="1:22" ht="45" customHeight="1" x14ac:dyDescent="0.3">
      <c r="A310" s="496">
        <v>153</v>
      </c>
      <c r="B310" s="484">
        <v>11151500</v>
      </c>
      <c r="C310" s="453" t="s">
        <v>407</v>
      </c>
      <c r="D310" s="453" t="s">
        <v>408</v>
      </c>
      <c r="E310" s="432" t="s">
        <v>42</v>
      </c>
      <c r="F310" s="434" t="s">
        <v>72</v>
      </c>
      <c r="G310" s="149">
        <f t="shared" si="703"/>
        <v>1</v>
      </c>
      <c r="H310" s="24" t="s">
        <v>409</v>
      </c>
      <c r="I310" s="22">
        <f t="shared" si="579"/>
        <v>4033.6134453781515</v>
      </c>
      <c r="J310" s="23">
        <f t="shared" si="580"/>
        <v>18.999999999999993</v>
      </c>
      <c r="K310" s="169">
        <v>4800</v>
      </c>
      <c r="L310" s="5">
        <f t="shared" si="587"/>
        <v>4800</v>
      </c>
      <c r="M310" s="411">
        <f t="shared" ref="M310" si="722">IFERROR(AVERAGE(L310:L311),"")</f>
        <v>4650</v>
      </c>
      <c r="N310" s="411">
        <f t="shared" ref="N310" si="723">IFERROR(HARMEAN(L310:L311),"")</f>
        <v>4645.1612903225805</v>
      </c>
      <c r="O310" s="411">
        <f t="shared" ref="O310" si="724">IFERROR(MEDIAN(L310:L311),"")</f>
        <v>4650</v>
      </c>
      <c r="P310" s="86">
        <f t="shared" si="578"/>
        <v>4800</v>
      </c>
      <c r="Q310" s="413">
        <f t="shared" ref="Q310" si="725">IFERROR(SUM(P310:P311)/COUNTA(K310:K311),"")</f>
        <v>4650</v>
      </c>
      <c r="R310" s="411">
        <f t="shared" ref="R310" si="726">IFERROR(_xlfn.STDEV.S(L310:L311),"")</f>
        <v>212.13203435596427</v>
      </c>
      <c r="S310" s="415">
        <f t="shared" ref="S310" si="727">IFERROR(R310/M310,"")</f>
        <v>4.5619792334615973E-2</v>
      </c>
      <c r="T310" s="417" t="s">
        <v>2005</v>
      </c>
      <c r="U310" s="407">
        <f t="shared" si="553"/>
        <v>4650</v>
      </c>
      <c r="V310" s="503" t="e" vm="126">
        <v>#VALUE!</v>
      </c>
    </row>
    <row r="311" spans="1:22" ht="45" customHeight="1" x14ac:dyDescent="0.3">
      <c r="A311" s="496"/>
      <c r="B311" s="509"/>
      <c r="C311" s="454"/>
      <c r="D311" s="454"/>
      <c r="E311" s="433"/>
      <c r="F311" s="435"/>
      <c r="G311" s="149">
        <f t="shared" si="703"/>
        <v>1</v>
      </c>
      <c r="H311" s="53" t="s">
        <v>410</v>
      </c>
      <c r="I311" s="22">
        <f t="shared" si="579"/>
        <v>3781.5126050420172</v>
      </c>
      <c r="J311" s="23">
        <f t="shared" si="580"/>
        <v>18.999999999999989</v>
      </c>
      <c r="K311" s="169">
        <v>4500</v>
      </c>
      <c r="L311" s="5">
        <f t="shared" si="587"/>
        <v>4500</v>
      </c>
      <c r="M311" s="412"/>
      <c r="N311" s="412"/>
      <c r="O311" s="412"/>
      <c r="P311" s="86">
        <f t="shared" si="578"/>
        <v>4500</v>
      </c>
      <c r="Q311" s="414"/>
      <c r="R311" s="412"/>
      <c r="S311" s="416"/>
      <c r="T311" s="418"/>
      <c r="U311" s="408">
        <f t="shared" si="553"/>
        <v>0</v>
      </c>
      <c r="V311" s="504"/>
    </row>
    <row r="312" spans="1:22" ht="45" customHeight="1" x14ac:dyDescent="0.3">
      <c r="A312" s="496">
        <v>154</v>
      </c>
      <c r="B312" s="484">
        <v>285294</v>
      </c>
      <c r="C312" s="453" t="s">
        <v>412</v>
      </c>
      <c r="D312" s="453" t="s">
        <v>413</v>
      </c>
      <c r="E312" s="432" t="s">
        <v>78</v>
      </c>
      <c r="F312" s="434" t="s">
        <v>78</v>
      </c>
      <c r="G312" s="151">
        <v>1</v>
      </c>
      <c r="H312" s="24" t="s">
        <v>414</v>
      </c>
      <c r="I312" s="22">
        <f t="shared" si="579"/>
        <v>5714.2857142857147</v>
      </c>
      <c r="J312" s="23">
        <f t="shared" si="580"/>
        <v>18.999999999999993</v>
      </c>
      <c r="K312" s="169">
        <v>6800</v>
      </c>
      <c r="L312" s="5">
        <f t="shared" si="587"/>
        <v>6800</v>
      </c>
      <c r="M312" s="411">
        <f t="shared" ref="M312" si="728">IFERROR(AVERAGE(L312:L314),"")</f>
        <v>5866.666666666667</v>
      </c>
      <c r="N312" s="411">
        <f t="shared" ref="N312" si="729">IFERROR(HARMEAN(L312:L314),"")</f>
        <v>5623.631521846336</v>
      </c>
      <c r="O312" s="411">
        <f t="shared" ref="O312" si="730">IFERROR(MEDIAN(L312:L314),"")</f>
        <v>6500</v>
      </c>
      <c r="P312" s="86">
        <f t="shared" si="578"/>
        <v>6800</v>
      </c>
      <c r="Q312" s="413">
        <f t="shared" ref="Q312" si="731">IFERROR(SUM(P312:P314)/COUNTA(K312:K314),"")</f>
        <v>5866.666666666667</v>
      </c>
      <c r="R312" s="411">
        <f t="shared" ref="R312" si="732">IFERROR(_xlfn.STDEV.S(L312:L314),"")</f>
        <v>1365.0396819628857</v>
      </c>
      <c r="S312" s="415">
        <f t="shared" ref="S312" si="733">IFERROR(R312/M312,"")</f>
        <v>0.23267721851640094</v>
      </c>
      <c r="T312" s="405" t="s">
        <v>2005</v>
      </c>
      <c r="U312" s="407">
        <f t="shared" si="553"/>
        <v>5866.666666666667</v>
      </c>
      <c r="V312" s="503" t="e" vm="127">
        <v>#VALUE!</v>
      </c>
    </row>
    <row r="313" spans="1:22" ht="45" customHeight="1" x14ac:dyDescent="0.3">
      <c r="A313" s="496"/>
      <c r="B313" s="509"/>
      <c r="C313" s="454"/>
      <c r="D313" s="454"/>
      <c r="E313" s="433"/>
      <c r="F313" s="435"/>
      <c r="G313" s="151">
        <v>1</v>
      </c>
      <c r="H313" s="24" t="s">
        <v>415</v>
      </c>
      <c r="I313" s="22">
        <f t="shared" si="579"/>
        <v>3613.4453781512607</v>
      </c>
      <c r="J313" s="23">
        <f t="shared" si="580"/>
        <v>18.999999999999993</v>
      </c>
      <c r="K313" s="169">
        <v>4300</v>
      </c>
      <c r="L313" s="5">
        <f t="shared" si="587"/>
        <v>4300</v>
      </c>
      <c r="M313" s="412"/>
      <c r="N313" s="412"/>
      <c r="O313" s="412"/>
      <c r="P313" s="86">
        <f t="shared" si="578"/>
        <v>4300</v>
      </c>
      <c r="Q313" s="414"/>
      <c r="R313" s="412"/>
      <c r="S313" s="416"/>
      <c r="T313" s="406"/>
      <c r="U313" s="408"/>
      <c r="V313" s="504"/>
    </row>
    <row r="314" spans="1:22" ht="45" customHeight="1" x14ac:dyDescent="0.3">
      <c r="A314" s="496"/>
      <c r="B314" s="509"/>
      <c r="C314" s="454"/>
      <c r="D314" s="454"/>
      <c r="E314" s="433"/>
      <c r="F314" s="435"/>
      <c r="G314" s="151">
        <v>1</v>
      </c>
      <c r="H314" s="53" t="s">
        <v>411</v>
      </c>
      <c r="I314" s="22">
        <f t="shared" si="579"/>
        <v>5462.1848739495799</v>
      </c>
      <c r="J314" s="23">
        <f t="shared" si="580"/>
        <v>18.999999999999996</v>
      </c>
      <c r="K314" s="169">
        <v>6500</v>
      </c>
      <c r="L314" s="5">
        <f t="shared" si="587"/>
        <v>6500</v>
      </c>
      <c r="M314" s="412"/>
      <c r="N314" s="412"/>
      <c r="O314" s="412"/>
      <c r="P314" s="86">
        <f t="shared" si="578"/>
        <v>6500</v>
      </c>
      <c r="Q314" s="414"/>
      <c r="R314" s="412"/>
      <c r="S314" s="416"/>
      <c r="T314" s="406"/>
      <c r="U314" s="408">
        <f t="shared" si="553"/>
        <v>0</v>
      </c>
      <c r="V314" s="504"/>
    </row>
    <row r="315" spans="1:22" ht="45" customHeight="1" x14ac:dyDescent="0.3">
      <c r="A315" s="496">
        <v>155</v>
      </c>
      <c r="B315" s="484">
        <v>271666</v>
      </c>
      <c r="C315" s="453" t="s">
        <v>416</v>
      </c>
      <c r="D315" s="453" t="s">
        <v>417</v>
      </c>
      <c r="E315" s="432" t="s">
        <v>78</v>
      </c>
      <c r="F315" s="434" t="s">
        <v>79</v>
      </c>
      <c r="G315" s="151">
        <v>1</v>
      </c>
      <c r="H315" s="24" t="s">
        <v>395</v>
      </c>
      <c r="I315" s="22">
        <f t="shared" si="579"/>
        <v>8667.226890756303</v>
      </c>
      <c r="J315" s="23">
        <f t="shared" si="580"/>
        <v>18.999999999999993</v>
      </c>
      <c r="K315" s="169">
        <v>10314</v>
      </c>
      <c r="L315" s="5">
        <f t="shared" si="587"/>
        <v>10314</v>
      </c>
      <c r="M315" s="411">
        <f t="shared" ref="M315" si="734">IFERROR(AVERAGE(L315:L316),"")</f>
        <v>11007</v>
      </c>
      <c r="N315" s="411">
        <f t="shared" ref="N315" si="735">IFERROR(HARMEAN(L315:L316),"")</f>
        <v>10963.368765331152</v>
      </c>
      <c r="O315" s="411">
        <f t="shared" ref="O315" si="736">IFERROR(MEDIAN(L315:L316),"")</f>
        <v>11007</v>
      </c>
      <c r="P315" s="86">
        <f t="shared" si="578"/>
        <v>10314</v>
      </c>
      <c r="Q315" s="413">
        <f t="shared" ref="Q315" si="737">IFERROR(SUM(P315:P316)/COUNTA(K315:K316),"")</f>
        <v>11007</v>
      </c>
      <c r="R315" s="411">
        <f t="shared" ref="R315" si="738">IFERROR(_xlfn.STDEV.S(L315:L316),"")</f>
        <v>980.04999872455483</v>
      </c>
      <c r="S315" s="415">
        <f t="shared" ref="S315" si="739">IFERROR(R315/M315,"")</f>
        <v>8.9038793379172781E-2</v>
      </c>
      <c r="T315" s="417" t="s">
        <v>2005</v>
      </c>
      <c r="U315" s="407">
        <f t="shared" si="553"/>
        <v>11007</v>
      </c>
      <c r="V315" s="503"/>
    </row>
    <row r="316" spans="1:22" ht="45" customHeight="1" x14ac:dyDescent="0.3">
      <c r="A316" s="496"/>
      <c r="B316" s="509"/>
      <c r="C316" s="454"/>
      <c r="D316" s="454"/>
      <c r="E316" s="433"/>
      <c r="F316" s="435"/>
      <c r="G316" s="151">
        <v>1</v>
      </c>
      <c r="H316" s="53" t="s">
        <v>182</v>
      </c>
      <c r="I316" s="22">
        <f t="shared" si="579"/>
        <v>9831.9327731092435</v>
      </c>
      <c r="J316" s="23">
        <f t="shared" si="580"/>
        <v>19.000000000000004</v>
      </c>
      <c r="K316" s="169">
        <v>11700</v>
      </c>
      <c r="L316" s="5">
        <f t="shared" si="587"/>
        <v>11700</v>
      </c>
      <c r="M316" s="412"/>
      <c r="N316" s="412"/>
      <c r="O316" s="412"/>
      <c r="P316" s="86">
        <f t="shared" si="578"/>
        <v>11700</v>
      </c>
      <c r="Q316" s="414"/>
      <c r="R316" s="412"/>
      <c r="S316" s="416"/>
      <c r="T316" s="418"/>
      <c r="U316" s="408">
        <f t="shared" ref="U316:U379" si="740">M316</f>
        <v>0</v>
      </c>
      <c r="V316" s="504"/>
    </row>
    <row r="317" spans="1:22" ht="45" customHeight="1" x14ac:dyDescent="0.3">
      <c r="A317" s="496">
        <v>156</v>
      </c>
      <c r="B317" s="409">
        <v>11121604</v>
      </c>
      <c r="C317" s="453" t="s">
        <v>418</v>
      </c>
      <c r="D317" s="453" t="s">
        <v>419</v>
      </c>
      <c r="E317" s="432" t="s">
        <v>78</v>
      </c>
      <c r="F317" s="434" t="s">
        <v>79</v>
      </c>
      <c r="G317" s="151">
        <v>1</v>
      </c>
      <c r="H317" s="24" t="s">
        <v>420</v>
      </c>
      <c r="I317" s="22">
        <f t="shared" si="579"/>
        <v>89900</v>
      </c>
      <c r="J317" s="23">
        <f t="shared" si="580"/>
        <v>19</v>
      </c>
      <c r="K317" s="169">
        <v>106981</v>
      </c>
      <c r="L317" s="5">
        <f t="shared" si="587"/>
        <v>106981</v>
      </c>
      <c r="M317" s="411">
        <f t="shared" ref="M317" si="741">IFERROR(AVERAGE(L317:L318),"")</f>
        <v>57923.25</v>
      </c>
      <c r="N317" s="411">
        <f t="shared" ref="N317" si="742">IFERROR(HARMEAN(L317:L318),"")</f>
        <v>16374.082177709297</v>
      </c>
      <c r="O317" s="411">
        <f t="shared" ref="O317" si="743">IFERROR(MEDIAN(L317:L318),"")</f>
        <v>57923.25</v>
      </c>
      <c r="P317" s="86">
        <f t="shared" si="578"/>
        <v>106981</v>
      </c>
      <c r="Q317" s="413">
        <f t="shared" ref="Q317" si="744">IFERROR(SUM(P317:P318)/COUNTA(K317:K318),"")</f>
        <v>57923.25</v>
      </c>
      <c r="R317" s="411">
        <f t="shared" ref="R317" si="745">IFERROR(_xlfn.STDEV.S(L317:L318),"")</f>
        <v>69378.135389508709</v>
      </c>
      <c r="S317" s="415">
        <f t="shared" ref="S317" si="746">IFERROR(R317/M317,"")</f>
        <v>1.197759714613885</v>
      </c>
      <c r="T317" s="417" t="s">
        <v>2005</v>
      </c>
      <c r="U317" s="407">
        <f t="shared" si="740"/>
        <v>57923.25</v>
      </c>
      <c r="V317" s="503" t="e" vm="128">
        <v>#VALUE!</v>
      </c>
    </row>
    <row r="318" spans="1:22" ht="45" customHeight="1" x14ac:dyDescent="0.3">
      <c r="A318" s="496"/>
      <c r="B318" s="266"/>
      <c r="C318" s="454"/>
      <c r="D318" s="454"/>
      <c r="E318" s="433"/>
      <c r="F318" s="435"/>
      <c r="G318" s="151">
        <v>1</v>
      </c>
      <c r="H318" s="53" t="s">
        <v>421</v>
      </c>
      <c r="I318" s="22">
        <f t="shared" si="579"/>
        <v>7450</v>
      </c>
      <c r="J318" s="23">
        <f t="shared" si="580"/>
        <v>19</v>
      </c>
      <c r="K318" s="169">
        <v>8865.5</v>
      </c>
      <c r="L318" s="5">
        <f t="shared" si="587"/>
        <v>8865.5</v>
      </c>
      <c r="M318" s="412"/>
      <c r="N318" s="412"/>
      <c r="O318" s="412"/>
      <c r="P318" s="86">
        <f t="shared" si="578"/>
        <v>8865.5</v>
      </c>
      <c r="Q318" s="414"/>
      <c r="R318" s="412"/>
      <c r="S318" s="416"/>
      <c r="T318" s="418"/>
      <c r="U318" s="408">
        <f t="shared" si="740"/>
        <v>0</v>
      </c>
      <c r="V318" s="504"/>
    </row>
    <row r="319" spans="1:22" ht="45" customHeight="1" x14ac:dyDescent="0.3">
      <c r="A319" s="496">
        <v>157</v>
      </c>
      <c r="B319" s="409">
        <v>27111515</v>
      </c>
      <c r="C319" s="453" t="s">
        <v>422</v>
      </c>
      <c r="D319" s="453" t="s">
        <v>423</v>
      </c>
      <c r="E319" s="432" t="s">
        <v>424</v>
      </c>
      <c r="F319" s="434" t="s">
        <v>141</v>
      </c>
      <c r="G319" s="151">
        <v>1</v>
      </c>
      <c r="H319" s="24" t="s">
        <v>425</v>
      </c>
      <c r="I319" s="22">
        <f t="shared" si="579"/>
        <v>48896</v>
      </c>
      <c r="J319" s="23">
        <f t="shared" si="580"/>
        <v>18.999999999999993</v>
      </c>
      <c r="K319" s="169">
        <v>58186.239999999998</v>
      </c>
      <c r="L319" s="5">
        <f t="shared" si="587"/>
        <v>58186.239999999998</v>
      </c>
      <c r="M319" s="411">
        <f t="shared" ref="M319" si="747">IFERROR(AVERAGE(L319:L320),"")</f>
        <v>48700.154999999999</v>
      </c>
      <c r="N319" s="411">
        <f t="shared" ref="N319" si="748">IFERROR(HARMEAN(L319:L320),"")</f>
        <v>46852.403003579762</v>
      </c>
      <c r="O319" s="411">
        <f t="shared" ref="O319" si="749">IFERROR(MEDIAN(L319:L320),"")</f>
        <v>48700.154999999999</v>
      </c>
      <c r="P319" s="86">
        <f t="shared" si="578"/>
        <v>58186.239999999998</v>
      </c>
      <c r="Q319" s="413">
        <f t="shared" ref="Q319" si="750">IFERROR(SUM(P319:P320)/COUNTA(K319:K320),"")</f>
        <v>48700.154999999999</v>
      </c>
      <c r="R319" s="411">
        <f t="shared" ref="R319" si="751">IFERROR(_xlfn.STDEV.S(L319:L320),"")</f>
        <v>13415.350060823976</v>
      </c>
      <c r="S319" s="415">
        <f t="shared" ref="S319" si="752">IFERROR(R319/M319,"")</f>
        <v>0.27546832368036561</v>
      </c>
      <c r="T319" s="417" t="s">
        <v>2005</v>
      </c>
      <c r="U319" s="407">
        <f t="shared" si="740"/>
        <v>48700.154999999999</v>
      </c>
      <c r="V319" s="503"/>
    </row>
    <row r="320" spans="1:22" ht="45" customHeight="1" x14ac:dyDescent="0.3">
      <c r="A320" s="496"/>
      <c r="B320" s="266"/>
      <c r="C320" s="454"/>
      <c r="D320" s="454"/>
      <c r="E320" s="433"/>
      <c r="F320" s="435"/>
      <c r="G320" s="151">
        <v>1</v>
      </c>
      <c r="H320" s="53" t="s">
        <v>391</v>
      </c>
      <c r="I320" s="22">
        <f t="shared" si="579"/>
        <v>32953</v>
      </c>
      <c r="J320" s="23">
        <f t="shared" si="580"/>
        <v>19</v>
      </c>
      <c r="K320" s="169">
        <v>39214.07</v>
      </c>
      <c r="L320" s="5">
        <f t="shared" si="587"/>
        <v>39214.07</v>
      </c>
      <c r="M320" s="412"/>
      <c r="N320" s="412"/>
      <c r="O320" s="412"/>
      <c r="P320" s="86">
        <f t="shared" si="578"/>
        <v>39214.07</v>
      </c>
      <c r="Q320" s="414"/>
      <c r="R320" s="412"/>
      <c r="S320" s="416"/>
      <c r="T320" s="418"/>
      <c r="U320" s="408">
        <f t="shared" si="740"/>
        <v>0</v>
      </c>
      <c r="V320" s="504"/>
    </row>
    <row r="321" spans="1:22" ht="45" customHeight="1" x14ac:dyDescent="0.3">
      <c r="A321" s="496">
        <v>158</v>
      </c>
      <c r="B321" s="409">
        <v>11121604</v>
      </c>
      <c r="C321" s="453" t="s">
        <v>426</v>
      </c>
      <c r="D321" s="453" t="s">
        <v>427</v>
      </c>
      <c r="E321" s="432" t="s">
        <v>428</v>
      </c>
      <c r="F321" s="434" t="s">
        <v>290</v>
      </c>
      <c r="G321" s="151">
        <v>1</v>
      </c>
      <c r="H321" s="24" t="s">
        <v>429</v>
      </c>
      <c r="I321" s="22">
        <f t="shared" si="579"/>
        <v>19000</v>
      </c>
      <c r="J321" s="23">
        <f t="shared" si="580"/>
        <v>19</v>
      </c>
      <c r="K321" s="169">
        <v>22610</v>
      </c>
      <c r="L321" s="5">
        <f t="shared" si="587"/>
        <v>22610</v>
      </c>
      <c r="M321" s="411">
        <f t="shared" ref="M321" si="753">IFERROR(AVERAGE(L321:L322),"")</f>
        <v>49980</v>
      </c>
      <c r="N321" s="411">
        <f t="shared" ref="N321" si="754">IFERROR(HARMEAN(L321:L322),"")</f>
        <v>34991.666666666664</v>
      </c>
      <c r="O321" s="411">
        <f t="shared" ref="O321" si="755">IFERROR(MEDIAN(L321:L322),"")</f>
        <v>49980</v>
      </c>
      <c r="P321" s="86">
        <f t="shared" si="578"/>
        <v>22610</v>
      </c>
      <c r="Q321" s="413">
        <f t="shared" ref="Q321" si="756">IFERROR(SUM(P321:P322)/COUNTA(K321:K322),"")</f>
        <v>49980</v>
      </c>
      <c r="R321" s="411">
        <f t="shared" ref="R321" si="757">IFERROR(_xlfn.STDEV.S(L321:L322),"")</f>
        <v>38707.025202151613</v>
      </c>
      <c r="S321" s="415">
        <f t="shared" ref="S321" si="758">IFERROR(R321/M321,"")</f>
        <v>0.77445028415669492</v>
      </c>
      <c r="T321" s="417" t="s">
        <v>2005</v>
      </c>
      <c r="U321" s="407">
        <f t="shared" si="740"/>
        <v>49980</v>
      </c>
      <c r="V321" s="503"/>
    </row>
    <row r="322" spans="1:22" ht="28.8" x14ac:dyDescent="0.3">
      <c r="A322" s="496"/>
      <c r="B322" s="266"/>
      <c r="C322" s="454"/>
      <c r="D322" s="454"/>
      <c r="E322" s="433"/>
      <c r="F322" s="435"/>
      <c r="G322" s="151">
        <v>1</v>
      </c>
      <c r="H322" s="53" t="s">
        <v>430</v>
      </c>
      <c r="I322" s="22">
        <f t="shared" si="579"/>
        <v>65000</v>
      </c>
      <c r="J322" s="23">
        <f t="shared" si="580"/>
        <v>19</v>
      </c>
      <c r="K322" s="169">
        <v>77350</v>
      </c>
      <c r="L322" s="5">
        <f t="shared" si="587"/>
        <v>77350</v>
      </c>
      <c r="M322" s="412"/>
      <c r="N322" s="412"/>
      <c r="O322" s="412"/>
      <c r="P322" s="86">
        <f t="shared" si="578"/>
        <v>77350</v>
      </c>
      <c r="Q322" s="414"/>
      <c r="R322" s="412"/>
      <c r="S322" s="416"/>
      <c r="T322" s="418"/>
      <c r="U322" s="408">
        <f t="shared" si="740"/>
        <v>0</v>
      </c>
      <c r="V322" s="504"/>
    </row>
    <row r="323" spans="1:22" ht="45" customHeight="1" x14ac:dyDescent="0.3">
      <c r="A323" s="496">
        <v>159</v>
      </c>
      <c r="B323" s="409">
        <v>11121604</v>
      </c>
      <c r="C323" s="453" t="s">
        <v>431</v>
      </c>
      <c r="D323" s="453" t="s">
        <v>432</v>
      </c>
      <c r="E323" s="432" t="s">
        <v>428</v>
      </c>
      <c r="F323" s="434" t="s">
        <v>290</v>
      </c>
      <c r="G323" s="151">
        <v>1</v>
      </c>
      <c r="H323" s="24" t="s">
        <v>433</v>
      </c>
      <c r="I323" s="22">
        <f t="shared" si="579"/>
        <v>75700</v>
      </c>
      <c r="J323" s="23">
        <f t="shared" si="580"/>
        <v>19</v>
      </c>
      <c r="K323" s="169">
        <v>90083</v>
      </c>
      <c r="L323" s="5">
        <f t="shared" si="587"/>
        <v>90083</v>
      </c>
      <c r="M323" s="411">
        <f t="shared" ref="M323" si="759">IFERROR(AVERAGE(L323:L324),"")</f>
        <v>53041.5</v>
      </c>
      <c r="N323" s="411">
        <f t="shared" ref="N323" si="760">IFERROR(HARMEAN(L323:L324),"")</f>
        <v>27173.590490465012</v>
      </c>
      <c r="O323" s="411">
        <f t="shared" ref="O323" si="761">IFERROR(MEDIAN(L323:L324),"")</f>
        <v>53041.5</v>
      </c>
      <c r="P323" s="86">
        <f t="shared" si="578"/>
        <v>90083</v>
      </c>
      <c r="Q323" s="413">
        <f t="shared" ref="Q323" si="762">IFERROR(SUM(P323:P324)/COUNTA(K323:K324),"")</f>
        <v>53041.5</v>
      </c>
      <c r="R323" s="411">
        <f t="shared" ref="R323" si="763">IFERROR(_xlfn.STDEV.S(L323:L324),"")</f>
        <v>52384.591670643</v>
      </c>
      <c r="S323" s="415">
        <f t="shared" ref="S323" si="764">IFERROR(R323/M323,"")</f>
        <v>0.98761520075116649</v>
      </c>
      <c r="T323" s="417" t="s">
        <v>2005</v>
      </c>
      <c r="U323" s="407">
        <f t="shared" si="740"/>
        <v>53041.5</v>
      </c>
      <c r="V323" s="503"/>
    </row>
    <row r="324" spans="1:22" ht="45" customHeight="1" x14ac:dyDescent="0.3">
      <c r="A324" s="496"/>
      <c r="B324" s="266"/>
      <c r="C324" s="454"/>
      <c r="D324" s="454"/>
      <c r="E324" s="433"/>
      <c r="F324" s="435"/>
      <c r="G324" s="151">
        <v>1</v>
      </c>
      <c r="H324" s="53" t="s">
        <v>2045</v>
      </c>
      <c r="I324" s="22">
        <f t="shared" si="579"/>
        <v>13445.378151260506</v>
      </c>
      <c r="J324" s="23">
        <v>19</v>
      </c>
      <c r="K324" s="22">
        <v>16000</v>
      </c>
      <c r="L324" s="5">
        <f t="shared" si="587"/>
        <v>16000</v>
      </c>
      <c r="M324" s="412"/>
      <c r="N324" s="412"/>
      <c r="O324" s="412"/>
      <c r="P324" s="86">
        <f t="shared" si="578"/>
        <v>16000</v>
      </c>
      <c r="Q324" s="414"/>
      <c r="R324" s="412"/>
      <c r="S324" s="416"/>
      <c r="T324" s="418"/>
      <c r="U324" s="408">
        <f t="shared" si="740"/>
        <v>0</v>
      </c>
      <c r="V324" s="504"/>
    </row>
    <row r="325" spans="1:22" ht="45" customHeight="1" x14ac:dyDescent="0.3">
      <c r="A325" s="496">
        <v>160</v>
      </c>
      <c r="B325" s="409">
        <v>60122003</v>
      </c>
      <c r="C325" s="453" t="s">
        <v>434</v>
      </c>
      <c r="D325" s="453" t="s">
        <v>377</v>
      </c>
      <c r="E325" s="432" t="s">
        <v>435</v>
      </c>
      <c r="F325" s="434" t="s">
        <v>435</v>
      </c>
      <c r="G325" s="151">
        <v>1</v>
      </c>
      <c r="H325" s="24" t="s">
        <v>391</v>
      </c>
      <c r="I325" s="22">
        <f t="shared" si="579"/>
        <v>20890</v>
      </c>
      <c r="J325" s="23">
        <f t="shared" si="580"/>
        <v>18.999999999999993</v>
      </c>
      <c r="K325" s="169">
        <v>24859.1</v>
      </c>
      <c r="L325" s="5">
        <f t="shared" si="587"/>
        <v>24859.1</v>
      </c>
      <c r="M325" s="411">
        <f t="shared" ref="M325" si="765">IFERROR(AVERAGE(L325:L326),"")</f>
        <v>36929.550000000003</v>
      </c>
      <c r="N325" s="411">
        <f t="shared" ref="N325" si="766">IFERROR(HARMEAN(L325:L326),"")</f>
        <v>32984.314728990743</v>
      </c>
      <c r="O325" s="411">
        <f t="shared" ref="O325" si="767">IFERROR(MEDIAN(L325:L326),"")</f>
        <v>36929.550000000003</v>
      </c>
      <c r="P325" s="86">
        <f t="shared" ref="P325:P388" si="768">IF(L325="","",L325)</f>
        <v>24859.1</v>
      </c>
      <c r="Q325" s="413">
        <f t="shared" ref="Q325" si="769">IFERROR(SUM(P325:P326)/COUNTA(K325:K326),"")</f>
        <v>36929.550000000003</v>
      </c>
      <c r="R325" s="411">
        <f t="shared" ref="R325" si="770">IFERROR(_xlfn.STDEV.S(L325:L326),"")</f>
        <v>17070.194093946317</v>
      </c>
      <c r="S325" s="415">
        <f t="shared" ref="S325" si="771">IFERROR(R325/M325,"")</f>
        <v>0.46223672083592449</v>
      </c>
      <c r="T325" s="417" t="s">
        <v>2005</v>
      </c>
      <c r="U325" s="407">
        <f t="shared" si="740"/>
        <v>36929.550000000003</v>
      </c>
      <c r="V325" s="503" t="e" vm="129">
        <v>#VALUE!</v>
      </c>
    </row>
    <row r="326" spans="1:22" ht="45" customHeight="1" x14ac:dyDescent="0.3">
      <c r="A326" s="496"/>
      <c r="B326" s="266"/>
      <c r="C326" s="454"/>
      <c r="D326" s="454"/>
      <c r="E326" s="433"/>
      <c r="F326" s="435"/>
      <c r="G326" s="151">
        <v>1</v>
      </c>
      <c r="H326" s="53" t="s">
        <v>2046</v>
      </c>
      <c r="I326" s="22">
        <f t="shared" ref="I326:I389" si="772">IFERROR(K326/((100+J326)/100),"")</f>
        <v>41176.470588235294</v>
      </c>
      <c r="J326" s="23">
        <v>19</v>
      </c>
      <c r="K326" s="22">
        <v>49000</v>
      </c>
      <c r="L326" s="5">
        <f t="shared" si="587"/>
        <v>49000</v>
      </c>
      <c r="M326" s="412"/>
      <c r="N326" s="412"/>
      <c r="O326" s="412"/>
      <c r="P326" s="86">
        <f t="shared" si="768"/>
        <v>49000</v>
      </c>
      <c r="Q326" s="414"/>
      <c r="R326" s="412"/>
      <c r="S326" s="416"/>
      <c r="T326" s="418"/>
      <c r="U326" s="408">
        <f t="shared" si="740"/>
        <v>0</v>
      </c>
      <c r="V326" s="504"/>
    </row>
    <row r="327" spans="1:22" ht="45" customHeight="1" x14ac:dyDescent="0.3">
      <c r="A327" s="496">
        <v>161</v>
      </c>
      <c r="B327" s="409">
        <v>11151700</v>
      </c>
      <c r="C327" s="453" t="s">
        <v>436</v>
      </c>
      <c r="D327" s="453" t="s">
        <v>437</v>
      </c>
      <c r="E327" s="432" t="s">
        <v>78</v>
      </c>
      <c r="F327" s="434" t="s">
        <v>79</v>
      </c>
      <c r="G327" s="151">
        <v>1</v>
      </c>
      <c r="H327" s="24" t="s">
        <v>438</v>
      </c>
      <c r="I327" s="22">
        <f t="shared" si="772"/>
        <v>19900</v>
      </c>
      <c r="J327" s="23">
        <f t="shared" ref="J327:J390" si="773">IF(K327="","",(K327-(K327/1.19))/(K327/1.19)*100)</f>
        <v>19</v>
      </c>
      <c r="K327" s="169">
        <v>23681</v>
      </c>
      <c r="L327" s="5">
        <f t="shared" si="587"/>
        <v>23681</v>
      </c>
      <c r="M327" s="411">
        <f t="shared" ref="M327" si="774">IFERROR(AVERAGE(L327:L328),"")</f>
        <v>18802</v>
      </c>
      <c r="N327" s="411">
        <f t="shared" ref="N327" si="775">IFERROR(HARMEAN(L327:L328),"")</f>
        <v>17535.930379746835</v>
      </c>
      <c r="O327" s="411">
        <f t="shared" ref="O327" si="776">IFERROR(MEDIAN(L327:L328),"")</f>
        <v>18802</v>
      </c>
      <c r="P327" s="86">
        <f t="shared" si="768"/>
        <v>23681</v>
      </c>
      <c r="Q327" s="413">
        <f t="shared" ref="Q327" si="777">IFERROR(SUM(P327:P328)/COUNTA(K327:K328),"")</f>
        <v>18802</v>
      </c>
      <c r="R327" s="411">
        <f t="shared" ref="R327" si="778">IFERROR(_xlfn.STDEV.S(L327:L328),"")</f>
        <v>6899.9479708183308</v>
      </c>
      <c r="S327" s="415">
        <f t="shared" ref="S327" si="779">IFERROR(R327/M327,"")</f>
        <v>0.36697946871706899</v>
      </c>
      <c r="T327" s="417" t="s">
        <v>2005</v>
      </c>
      <c r="U327" s="407">
        <f t="shared" si="740"/>
        <v>18802</v>
      </c>
      <c r="V327" s="503" t="e" vm="130">
        <v>#VALUE!</v>
      </c>
    </row>
    <row r="328" spans="1:22" ht="45" customHeight="1" x14ac:dyDescent="0.3">
      <c r="A328" s="496"/>
      <c r="B328" s="266"/>
      <c r="C328" s="454"/>
      <c r="D328" s="454"/>
      <c r="E328" s="433"/>
      <c r="F328" s="435"/>
      <c r="G328" s="151">
        <v>1</v>
      </c>
      <c r="H328" s="53" t="s">
        <v>439</v>
      </c>
      <c r="I328" s="22">
        <f t="shared" si="772"/>
        <v>11700</v>
      </c>
      <c r="J328" s="23">
        <f t="shared" si="773"/>
        <v>19</v>
      </c>
      <c r="K328" s="169">
        <v>13923</v>
      </c>
      <c r="L328" s="5">
        <f t="shared" ref="L328:L391" si="780">IF(I328="","",(K328)*G328)</f>
        <v>13923</v>
      </c>
      <c r="M328" s="412"/>
      <c r="N328" s="412"/>
      <c r="O328" s="412"/>
      <c r="P328" s="86">
        <f t="shared" si="768"/>
        <v>13923</v>
      </c>
      <c r="Q328" s="414"/>
      <c r="R328" s="412"/>
      <c r="S328" s="416"/>
      <c r="T328" s="418"/>
      <c r="U328" s="408">
        <f t="shared" si="740"/>
        <v>0</v>
      </c>
      <c r="V328" s="504"/>
    </row>
    <row r="329" spans="1:22" ht="45" customHeight="1" x14ac:dyDescent="0.3">
      <c r="A329" s="496">
        <v>162</v>
      </c>
      <c r="B329" s="505">
        <v>23141700</v>
      </c>
      <c r="C329" s="506" t="s">
        <v>440</v>
      </c>
      <c r="D329" s="506" t="s">
        <v>441</v>
      </c>
      <c r="E329" s="507" t="s">
        <v>424</v>
      </c>
      <c r="F329" s="434" t="s">
        <v>141</v>
      </c>
      <c r="G329" s="151">
        <v>1</v>
      </c>
      <c r="H329" s="24" t="s">
        <v>395</v>
      </c>
      <c r="I329" s="22">
        <f t="shared" si="772"/>
        <v>15457.000000000002</v>
      </c>
      <c r="J329" s="23">
        <f t="shared" si="773"/>
        <v>18.999999999999996</v>
      </c>
      <c r="K329" s="169">
        <v>18393.830000000002</v>
      </c>
      <c r="L329" s="5">
        <f t="shared" si="780"/>
        <v>18393.830000000002</v>
      </c>
      <c r="M329" s="411">
        <f t="shared" ref="M329" si="781">IFERROR(AVERAGE(L329:L330),"")</f>
        <v>26213.32</v>
      </c>
      <c r="N329" s="411">
        <f t="shared" ref="N329" si="782">IFERROR(HARMEAN(L329:L330),"")</f>
        <v>23880.749235972398</v>
      </c>
      <c r="O329" s="411">
        <f t="shared" ref="O329" si="783">IFERROR(MEDIAN(L329:L330),"")</f>
        <v>26213.32</v>
      </c>
      <c r="P329" s="86">
        <f t="shared" si="768"/>
        <v>18393.830000000002</v>
      </c>
      <c r="Q329" s="413">
        <f t="shared" ref="Q329" si="784">IFERROR(SUM(P329:P330)/COUNTA(K329:K330),"")</f>
        <v>26213.32</v>
      </c>
      <c r="R329" s="411">
        <f t="shared" ref="R329" si="785">IFERROR(_xlfn.STDEV.S(L329:L330),"")</f>
        <v>11058.428808840796</v>
      </c>
      <c r="S329" s="415">
        <f t="shared" ref="S329" si="786">IFERROR(R329/M329,"")</f>
        <v>0.42186296161038722</v>
      </c>
      <c r="T329" s="417" t="s">
        <v>2005</v>
      </c>
      <c r="U329" s="407">
        <f t="shared" si="740"/>
        <v>26213.32</v>
      </c>
      <c r="V329" s="424" t="e" vm="131">
        <v>#VALUE!</v>
      </c>
    </row>
    <row r="330" spans="1:22" ht="45" customHeight="1" x14ac:dyDescent="0.3">
      <c r="A330" s="496"/>
      <c r="B330" s="505"/>
      <c r="C330" s="506"/>
      <c r="D330" s="506"/>
      <c r="E330" s="508"/>
      <c r="F330" s="435"/>
      <c r="G330" s="151">
        <v>1</v>
      </c>
      <c r="H330" s="53" t="s">
        <v>438</v>
      </c>
      <c r="I330" s="22">
        <f t="shared" si="772"/>
        <v>28599</v>
      </c>
      <c r="J330" s="23">
        <f t="shared" si="773"/>
        <v>18.999999999999993</v>
      </c>
      <c r="K330" s="169">
        <v>34032.81</v>
      </c>
      <c r="L330" s="5">
        <f t="shared" si="780"/>
        <v>34032.81</v>
      </c>
      <c r="M330" s="412"/>
      <c r="N330" s="412"/>
      <c r="O330" s="412"/>
      <c r="P330" s="86">
        <f t="shared" si="768"/>
        <v>34032.81</v>
      </c>
      <c r="Q330" s="414"/>
      <c r="R330" s="412"/>
      <c r="S330" s="416"/>
      <c r="T330" s="418"/>
      <c r="U330" s="408">
        <f t="shared" si="740"/>
        <v>0</v>
      </c>
      <c r="V330" s="425"/>
    </row>
    <row r="331" spans="1:22" ht="45" customHeight="1" x14ac:dyDescent="0.3">
      <c r="A331" s="496">
        <v>163</v>
      </c>
      <c r="B331" s="498">
        <v>47131809</v>
      </c>
      <c r="C331" s="500" t="s">
        <v>442</v>
      </c>
      <c r="D331" s="500" t="s">
        <v>443</v>
      </c>
      <c r="E331" s="434" t="s">
        <v>108</v>
      </c>
      <c r="F331" s="434" t="s">
        <v>104</v>
      </c>
      <c r="G331" s="151">
        <v>1</v>
      </c>
      <c r="H331" s="24" t="s">
        <v>444</v>
      </c>
      <c r="I331" s="22">
        <f t="shared" si="772"/>
        <v>23990</v>
      </c>
      <c r="J331" s="23">
        <f t="shared" si="773"/>
        <v>18.999999999999993</v>
      </c>
      <c r="K331" s="169">
        <v>28548.1</v>
      </c>
      <c r="L331" s="5">
        <f t="shared" si="780"/>
        <v>28548.1</v>
      </c>
      <c r="M331" s="411">
        <f>IFERROR(AVERAGE(L331:L332),"")</f>
        <v>38068.1</v>
      </c>
      <c r="N331" s="411">
        <f>IFERROR(HARMEAN(L331:L332),"")</f>
        <v>35687.356017505466</v>
      </c>
      <c r="O331" s="411">
        <f>IFERROR(MEDIAN(L331:L332),"")</f>
        <v>38068.1</v>
      </c>
      <c r="P331" s="86">
        <f t="shared" si="768"/>
        <v>28548.1</v>
      </c>
      <c r="Q331" s="413">
        <f>IFERROR(SUM(P331:P332)/COUNTA(K331:K332),"")</f>
        <v>38068.1</v>
      </c>
      <c r="R331" s="411">
        <f>IFERROR(_xlfn.STDEV.S(L331:L332),"")</f>
        <v>13463.313113791846</v>
      </c>
      <c r="S331" s="415">
        <f t="shared" ref="S331" si="787">IFERROR(R331/M331,"")</f>
        <v>0.35366391056532492</v>
      </c>
      <c r="T331" s="417" t="s">
        <v>2005</v>
      </c>
      <c r="U331" s="407">
        <f t="shared" si="740"/>
        <v>38068.1</v>
      </c>
      <c r="V331" s="502" t="e" vm="132">
        <v>#VALUE!</v>
      </c>
    </row>
    <row r="332" spans="1:22" ht="45" customHeight="1" x14ac:dyDescent="0.3">
      <c r="A332" s="496"/>
      <c r="B332" s="499"/>
      <c r="C332" s="501"/>
      <c r="D332" s="501"/>
      <c r="E332" s="435"/>
      <c r="F332" s="435"/>
      <c r="G332" s="151">
        <v>1</v>
      </c>
      <c r="H332" s="24" t="s">
        <v>445</v>
      </c>
      <c r="I332" s="22">
        <f t="shared" si="772"/>
        <v>39990</v>
      </c>
      <c r="J332" s="23">
        <f t="shared" si="773"/>
        <v>18.999999999999996</v>
      </c>
      <c r="K332" s="169">
        <v>47588.1</v>
      </c>
      <c r="L332" s="5">
        <f t="shared" si="780"/>
        <v>47588.1</v>
      </c>
      <c r="M332" s="412"/>
      <c r="N332" s="412"/>
      <c r="O332" s="412"/>
      <c r="P332" s="86">
        <f t="shared" si="768"/>
        <v>47588.1</v>
      </c>
      <c r="Q332" s="414"/>
      <c r="R332" s="412"/>
      <c r="S332" s="416"/>
      <c r="T332" s="418"/>
      <c r="U332" s="408"/>
      <c r="V332" s="497"/>
    </row>
    <row r="333" spans="1:22" ht="45" customHeight="1" x14ac:dyDescent="0.3">
      <c r="A333" s="496">
        <v>164</v>
      </c>
      <c r="B333" s="498">
        <v>27113000</v>
      </c>
      <c r="C333" s="500" t="s">
        <v>446</v>
      </c>
      <c r="D333" s="500" t="s">
        <v>447</v>
      </c>
      <c r="E333" s="170" t="s">
        <v>448</v>
      </c>
      <c r="F333" s="170" t="s">
        <v>290</v>
      </c>
      <c r="G333" s="151">
        <v>1</v>
      </c>
      <c r="H333" s="24" t="s">
        <v>449</v>
      </c>
      <c r="I333" s="22">
        <f t="shared" si="772"/>
        <v>24195</v>
      </c>
      <c r="J333" s="23">
        <f t="shared" si="773"/>
        <v>18.999999999999996</v>
      </c>
      <c r="K333" s="169">
        <v>28792.05</v>
      </c>
      <c r="L333" s="5">
        <f t="shared" si="780"/>
        <v>28792.05</v>
      </c>
      <c r="M333" s="411">
        <f>IFERROR(AVERAGE(L333:L334),"")</f>
        <v>22383.9</v>
      </c>
      <c r="N333" s="411">
        <f>IFERROR(HARMEAN(L333:L334),"")</f>
        <v>20549.349880382775</v>
      </c>
      <c r="O333" s="411">
        <f>IFERROR(MEDIAN(L333:L334),"")</f>
        <v>22383.9</v>
      </c>
      <c r="P333" s="86">
        <f t="shared" si="768"/>
        <v>28792.05</v>
      </c>
      <c r="Q333" s="413">
        <f>IFERROR(SUM(P333:P334)/COUNTA(K333:K334),"")</f>
        <v>22383.9</v>
      </c>
      <c r="R333" s="411">
        <f>IFERROR(_xlfn.STDEV.S(L333:L334),"")</f>
        <v>9062.4926397211366</v>
      </c>
      <c r="S333" s="415">
        <f t="shared" ref="S333" si="788">IFERROR(R333/M333,"")</f>
        <v>0.404866562114785</v>
      </c>
      <c r="T333" s="417" t="s">
        <v>2005</v>
      </c>
      <c r="U333" s="407">
        <f t="shared" si="740"/>
        <v>22383.9</v>
      </c>
      <c r="V333" s="497"/>
    </row>
    <row r="334" spans="1:22" ht="45" customHeight="1" x14ac:dyDescent="0.3">
      <c r="A334" s="496"/>
      <c r="B334" s="499"/>
      <c r="C334" s="501"/>
      <c r="D334" s="501"/>
      <c r="E334" s="170"/>
      <c r="F334" s="170"/>
      <c r="G334" s="151">
        <v>1</v>
      </c>
      <c r="H334" s="24" t="s">
        <v>450</v>
      </c>
      <c r="I334" s="22">
        <f t="shared" si="772"/>
        <v>15975.75</v>
      </c>
      <c r="J334" s="23"/>
      <c r="K334" s="169">
        <v>15975.75</v>
      </c>
      <c r="L334" s="5">
        <f t="shared" si="780"/>
        <v>15975.75</v>
      </c>
      <c r="M334" s="412"/>
      <c r="N334" s="412"/>
      <c r="O334" s="412"/>
      <c r="P334" s="86">
        <f t="shared" si="768"/>
        <v>15975.75</v>
      </c>
      <c r="Q334" s="414"/>
      <c r="R334" s="412"/>
      <c r="S334" s="416"/>
      <c r="T334" s="418"/>
      <c r="U334" s="408"/>
      <c r="V334" s="497"/>
    </row>
    <row r="335" spans="1:22" ht="45" customHeight="1" x14ac:dyDescent="0.3">
      <c r="A335" s="496">
        <v>165</v>
      </c>
      <c r="B335" s="498">
        <v>23271806</v>
      </c>
      <c r="C335" s="500" t="s">
        <v>451</v>
      </c>
      <c r="D335" s="500" t="s">
        <v>2047</v>
      </c>
      <c r="E335" s="434" t="s">
        <v>141</v>
      </c>
      <c r="F335" s="434" t="s">
        <v>141</v>
      </c>
      <c r="G335" s="151">
        <v>1</v>
      </c>
      <c r="H335" s="24" t="s">
        <v>391</v>
      </c>
      <c r="I335" s="22">
        <f t="shared" si="772"/>
        <v>45856</v>
      </c>
      <c r="J335" s="23">
        <f t="shared" si="773"/>
        <v>18.999999999999996</v>
      </c>
      <c r="K335" s="169">
        <v>54568.639999999999</v>
      </c>
      <c r="L335" s="5">
        <f t="shared" si="780"/>
        <v>54568.639999999999</v>
      </c>
      <c r="M335" s="411">
        <f t="shared" ref="M335" si="789">IFERROR(AVERAGE(L335:L336),"")</f>
        <v>71499.959999999992</v>
      </c>
      <c r="N335" s="411">
        <f t="shared" ref="N335" si="790">IFERROR(HARMEAN(L335:L336),"")</f>
        <v>67490.592764795947</v>
      </c>
      <c r="O335" s="411">
        <f t="shared" ref="O335" si="791">IFERROR(MEDIAN(L335:L336),"")</f>
        <v>71499.959999999992</v>
      </c>
      <c r="P335" s="86">
        <f t="shared" si="768"/>
        <v>54568.639999999999</v>
      </c>
      <c r="Q335" s="413">
        <f t="shared" ref="Q335" si="792">IFERROR(SUM(P335:P336)/COUNTA(K335:K336),"")</f>
        <v>71499.959999999992</v>
      </c>
      <c r="R335" s="411">
        <f t="shared" ref="R335" si="793">IFERROR(_xlfn.STDEV.S(L335:L336),"")</f>
        <v>23944.502372878909</v>
      </c>
      <c r="S335" s="415">
        <f t="shared" ref="S335" si="794">IFERROR(R335/M335,"")</f>
        <v>0.3348883324253456</v>
      </c>
      <c r="T335" s="417" t="s">
        <v>2005</v>
      </c>
      <c r="U335" s="407">
        <f t="shared" si="740"/>
        <v>71499.959999999992</v>
      </c>
      <c r="V335" s="174"/>
    </row>
    <row r="336" spans="1:22" ht="45" customHeight="1" x14ac:dyDescent="0.3">
      <c r="A336" s="496"/>
      <c r="B336" s="499"/>
      <c r="C336" s="501"/>
      <c r="D336" s="501"/>
      <c r="E336" s="435"/>
      <c r="F336" s="435"/>
      <c r="G336" s="151">
        <v>1</v>
      </c>
      <c r="H336" s="53" t="s">
        <v>391</v>
      </c>
      <c r="I336" s="22">
        <f t="shared" si="772"/>
        <v>74312</v>
      </c>
      <c r="J336" s="23">
        <f t="shared" si="773"/>
        <v>18.999999999999996</v>
      </c>
      <c r="K336" s="169">
        <v>88431.28</v>
      </c>
      <c r="L336" s="5">
        <f t="shared" si="780"/>
        <v>88431.28</v>
      </c>
      <c r="M336" s="412"/>
      <c r="N336" s="412"/>
      <c r="O336" s="412"/>
      <c r="P336" s="86">
        <f t="shared" si="768"/>
        <v>88431.28</v>
      </c>
      <c r="Q336" s="414"/>
      <c r="R336" s="412"/>
      <c r="S336" s="416"/>
      <c r="T336" s="418"/>
      <c r="U336" s="408">
        <f t="shared" si="740"/>
        <v>0</v>
      </c>
      <c r="V336" s="174"/>
    </row>
    <row r="337" spans="1:22" ht="45" customHeight="1" x14ac:dyDescent="0.3">
      <c r="A337" s="496">
        <v>166</v>
      </c>
      <c r="B337" s="409">
        <v>27112800</v>
      </c>
      <c r="C337" s="453" t="s">
        <v>452</v>
      </c>
      <c r="D337" s="453" t="s">
        <v>453</v>
      </c>
      <c r="E337" s="432" t="s">
        <v>141</v>
      </c>
      <c r="F337" s="434" t="s">
        <v>141</v>
      </c>
      <c r="G337" s="151">
        <v>1</v>
      </c>
      <c r="H337" s="24" t="s">
        <v>454</v>
      </c>
      <c r="I337" s="22">
        <f t="shared" si="772"/>
        <v>39000</v>
      </c>
      <c r="J337" s="23">
        <f t="shared" si="773"/>
        <v>19</v>
      </c>
      <c r="K337" s="169">
        <v>46410</v>
      </c>
      <c r="L337" s="5">
        <f t="shared" si="780"/>
        <v>46410</v>
      </c>
      <c r="M337" s="411">
        <f t="shared" ref="M337" si="795">IFERROR(AVERAGE(L337:L338),"")</f>
        <v>51939.334999999999</v>
      </c>
      <c r="N337" s="411">
        <f t="shared" ref="N337" si="796">IFERROR(HARMEAN(L337:L338),"")</f>
        <v>51350.695473863874</v>
      </c>
      <c r="O337" s="411">
        <f t="shared" ref="O337" si="797">IFERROR(MEDIAN(L337:L338),"")</f>
        <v>51939.334999999999</v>
      </c>
      <c r="P337" s="86">
        <f t="shared" si="768"/>
        <v>46410</v>
      </c>
      <c r="Q337" s="413">
        <f t="shared" ref="Q337" si="798">IFERROR(SUM(P337:P338)/COUNTA(K337:K338),"")</f>
        <v>51939.334999999999</v>
      </c>
      <c r="R337" s="411">
        <f t="shared" ref="R337" si="799">IFERROR(_xlfn.STDEV.S(L337:L338),"")</f>
        <v>7819.6605479042228</v>
      </c>
      <c r="S337" s="415">
        <f t="shared" ref="S337" si="800">IFERROR(R337/M337,"")</f>
        <v>0.1505537286510161</v>
      </c>
      <c r="T337" s="417" t="s">
        <v>2005</v>
      </c>
      <c r="U337" s="407">
        <f t="shared" si="740"/>
        <v>51939.334999999999</v>
      </c>
      <c r="V337" s="424"/>
    </row>
    <row r="338" spans="1:22" ht="45" customHeight="1" x14ac:dyDescent="0.3">
      <c r="A338" s="496"/>
      <c r="B338" s="266"/>
      <c r="C338" s="454"/>
      <c r="D338" s="454"/>
      <c r="E338" s="433"/>
      <c r="F338" s="435"/>
      <c r="G338" s="151">
        <v>1</v>
      </c>
      <c r="H338" s="53" t="s">
        <v>391</v>
      </c>
      <c r="I338" s="22">
        <f t="shared" si="772"/>
        <v>48293</v>
      </c>
      <c r="J338" s="23">
        <f t="shared" si="773"/>
        <v>18.999999999999996</v>
      </c>
      <c r="K338" s="169">
        <v>57468.67</v>
      </c>
      <c r="L338" s="5">
        <f t="shared" si="780"/>
        <v>57468.67</v>
      </c>
      <c r="M338" s="412"/>
      <c r="N338" s="412"/>
      <c r="O338" s="412"/>
      <c r="P338" s="86">
        <f t="shared" si="768"/>
        <v>57468.67</v>
      </c>
      <c r="Q338" s="414"/>
      <c r="R338" s="412"/>
      <c r="S338" s="416"/>
      <c r="T338" s="418"/>
      <c r="U338" s="408">
        <f t="shared" si="740"/>
        <v>0</v>
      </c>
      <c r="V338" s="425"/>
    </row>
    <row r="339" spans="1:22" ht="45" customHeight="1" x14ac:dyDescent="0.3">
      <c r="A339" s="496">
        <v>167</v>
      </c>
      <c r="B339" s="409">
        <v>27112800</v>
      </c>
      <c r="C339" s="453" t="s">
        <v>455</v>
      </c>
      <c r="D339" s="453" t="s">
        <v>456</v>
      </c>
      <c r="E339" s="432" t="s">
        <v>78</v>
      </c>
      <c r="F339" s="434" t="s">
        <v>79</v>
      </c>
      <c r="G339" s="151">
        <v>1</v>
      </c>
      <c r="H339" s="24" t="s">
        <v>391</v>
      </c>
      <c r="I339" s="22">
        <f t="shared" si="772"/>
        <v>24947</v>
      </c>
      <c r="J339" s="23">
        <f t="shared" si="773"/>
        <v>19</v>
      </c>
      <c r="K339" s="169">
        <v>29686.93</v>
      </c>
      <c r="L339" s="5">
        <f t="shared" si="780"/>
        <v>29686.93</v>
      </c>
      <c r="M339" s="411">
        <f t="shared" ref="M339" si="801">IFERROR(AVERAGE(L339:L340),"")</f>
        <v>19484.465</v>
      </c>
      <c r="N339" s="411">
        <f t="shared" ref="N339" si="802">IFERROR(HARMEAN(L339:L340),"")</f>
        <v>14142.245335450576</v>
      </c>
      <c r="O339" s="411">
        <f t="shared" ref="O339" si="803">IFERROR(MEDIAN(L339:L340),"")</f>
        <v>19484.465</v>
      </c>
      <c r="P339" s="86">
        <f t="shared" si="768"/>
        <v>29686.93</v>
      </c>
      <c r="Q339" s="413">
        <f t="shared" ref="Q339" si="804">IFERROR(SUM(P339:P340)/COUNTA(K339:K340),"")</f>
        <v>19484.465</v>
      </c>
      <c r="R339" s="411">
        <f t="shared" ref="R339" si="805">IFERROR(_xlfn.STDEV.S(L339:L340),"")</f>
        <v>14428.464372636818</v>
      </c>
      <c r="S339" s="415">
        <f t="shared" ref="S339" si="806">IFERROR(R339/M339,"")</f>
        <v>0.7405111904605447</v>
      </c>
      <c r="T339" s="417" t="s">
        <v>2005</v>
      </c>
      <c r="U339" s="407">
        <f t="shared" si="740"/>
        <v>19484.465</v>
      </c>
      <c r="V339" s="424"/>
    </row>
    <row r="340" spans="1:22" ht="45" customHeight="1" x14ac:dyDescent="0.3">
      <c r="A340" s="496"/>
      <c r="B340" s="266"/>
      <c r="C340" s="454"/>
      <c r="D340" s="454"/>
      <c r="E340" s="433"/>
      <c r="F340" s="435"/>
      <c r="G340" s="151">
        <v>1</v>
      </c>
      <c r="H340" s="53" t="s">
        <v>457</v>
      </c>
      <c r="I340" s="22">
        <f t="shared" si="772"/>
        <v>7800</v>
      </c>
      <c r="J340" s="23">
        <f t="shared" si="773"/>
        <v>19</v>
      </c>
      <c r="K340" s="169">
        <v>9282</v>
      </c>
      <c r="L340" s="5">
        <f t="shared" si="780"/>
        <v>9282</v>
      </c>
      <c r="M340" s="412"/>
      <c r="N340" s="412"/>
      <c r="O340" s="412"/>
      <c r="P340" s="86">
        <f t="shared" si="768"/>
        <v>9282</v>
      </c>
      <c r="Q340" s="414"/>
      <c r="R340" s="412"/>
      <c r="S340" s="416"/>
      <c r="T340" s="418"/>
      <c r="U340" s="408">
        <f t="shared" si="740"/>
        <v>0</v>
      </c>
      <c r="V340" s="425"/>
    </row>
    <row r="341" spans="1:22" ht="45" customHeight="1" x14ac:dyDescent="0.3">
      <c r="A341" s="389">
        <v>168</v>
      </c>
      <c r="B341" s="409">
        <v>47131820</v>
      </c>
      <c r="C341" s="453" t="s">
        <v>458</v>
      </c>
      <c r="D341" s="453" t="s">
        <v>459</v>
      </c>
      <c r="E341" s="432" t="s">
        <v>108</v>
      </c>
      <c r="F341" s="434" t="s">
        <v>460</v>
      </c>
      <c r="G341" s="151">
        <v>1</v>
      </c>
      <c r="H341" s="24" t="s">
        <v>414</v>
      </c>
      <c r="I341" s="22">
        <f t="shared" si="772"/>
        <v>44537.815126050424</v>
      </c>
      <c r="J341" s="23">
        <f t="shared" si="773"/>
        <v>18.999999999999993</v>
      </c>
      <c r="K341" s="169">
        <v>53000</v>
      </c>
      <c r="L341" s="5">
        <f t="shared" si="780"/>
        <v>53000</v>
      </c>
      <c r="M341" s="411">
        <f t="shared" ref="M341" si="807">IFERROR(AVERAGE(L341:L343),"")</f>
        <v>51666.666666666664</v>
      </c>
      <c r="N341" s="411">
        <f t="shared" ref="N341" si="808">IFERROR(HARMEAN(L341:L343),"")</f>
        <v>51434.739081466651</v>
      </c>
      <c r="O341" s="411">
        <f t="shared" ref="O341" si="809">IFERROR(MEDIAN(L341:L343),"")</f>
        <v>53000</v>
      </c>
      <c r="P341" s="86">
        <f t="shared" si="768"/>
        <v>53000</v>
      </c>
      <c r="Q341" s="413">
        <f t="shared" ref="Q341" si="810">IFERROR(SUM(P341:P343)/COUNTA(K341:K343),"")</f>
        <v>51666.666666666664</v>
      </c>
      <c r="R341" s="411">
        <f t="shared" ref="R341" si="811">IFERROR(_xlfn.STDEV.S(L341:L343),"")</f>
        <v>4163.3319989322654</v>
      </c>
      <c r="S341" s="415">
        <f t="shared" ref="S341" si="812">IFERROR(R341/M341,"")</f>
        <v>8.0580619334172876E-2</v>
      </c>
      <c r="T341" s="405" t="s">
        <v>2005</v>
      </c>
      <c r="U341" s="407">
        <f t="shared" si="740"/>
        <v>51666.666666666664</v>
      </c>
      <c r="V341" s="424" t="e" vm="133">
        <v>#VALUE!</v>
      </c>
    </row>
    <row r="342" spans="1:22" ht="45" customHeight="1" x14ac:dyDescent="0.3">
      <c r="A342" s="390"/>
      <c r="B342" s="266"/>
      <c r="C342" s="454"/>
      <c r="D342" s="454"/>
      <c r="E342" s="433"/>
      <c r="F342" s="435"/>
      <c r="G342" s="151">
        <v>1</v>
      </c>
      <c r="H342" s="24" t="s">
        <v>411</v>
      </c>
      <c r="I342" s="22">
        <f t="shared" si="772"/>
        <v>46218.487394957985</v>
      </c>
      <c r="J342" s="23">
        <f t="shared" si="773"/>
        <v>18.999999999999993</v>
      </c>
      <c r="K342" s="169">
        <v>55000</v>
      </c>
      <c r="L342" s="5">
        <f t="shared" si="780"/>
        <v>55000</v>
      </c>
      <c r="M342" s="412"/>
      <c r="N342" s="412"/>
      <c r="O342" s="412"/>
      <c r="P342" s="86">
        <f t="shared" si="768"/>
        <v>55000</v>
      </c>
      <c r="Q342" s="414"/>
      <c r="R342" s="412"/>
      <c r="S342" s="416"/>
      <c r="T342" s="406"/>
      <c r="U342" s="408"/>
      <c r="V342" s="425"/>
    </row>
    <row r="343" spans="1:22" ht="45" customHeight="1" x14ac:dyDescent="0.3">
      <c r="A343" s="390"/>
      <c r="B343" s="266"/>
      <c r="C343" s="454"/>
      <c r="D343" s="454"/>
      <c r="E343" s="433"/>
      <c r="F343" s="435"/>
      <c r="G343" s="151">
        <v>1</v>
      </c>
      <c r="H343" s="53" t="s">
        <v>461</v>
      </c>
      <c r="I343" s="22">
        <f t="shared" si="772"/>
        <v>39495.798319327732</v>
      </c>
      <c r="J343" s="23">
        <f t="shared" si="773"/>
        <v>18.999999999999996</v>
      </c>
      <c r="K343" s="169">
        <v>47000</v>
      </c>
      <c r="L343" s="5">
        <f t="shared" si="780"/>
        <v>47000</v>
      </c>
      <c r="M343" s="412"/>
      <c r="N343" s="412"/>
      <c r="O343" s="412"/>
      <c r="P343" s="86">
        <f t="shared" si="768"/>
        <v>47000</v>
      </c>
      <c r="Q343" s="414"/>
      <c r="R343" s="412"/>
      <c r="S343" s="416"/>
      <c r="T343" s="406"/>
      <c r="U343" s="408">
        <f t="shared" si="740"/>
        <v>0</v>
      </c>
      <c r="V343" s="425"/>
    </row>
    <row r="344" spans="1:22" ht="45" customHeight="1" x14ac:dyDescent="0.3">
      <c r="A344" s="389">
        <v>169</v>
      </c>
      <c r="B344" s="409">
        <v>12191500</v>
      </c>
      <c r="C344" s="453" t="s">
        <v>462</v>
      </c>
      <c r="D344" s="453" t="s">
        <v>463</v>
      </c>
      <c r="E344" s="432" t="s">
        <v>464</v>
      </c>
      <c r="F344" s="434" t="s">
        <v>465</v>
      </c>
      <c r="G344" s="151">
        <v>1</v>
      </c>
      <c r="H344" s="24" t="s">
        <v>414</v>
      </c>
      <c r="I344" s="22">
        <f t="shared" si="772"/>
        <v>20000</v>
      </c>
      <c r="J344" s="23">
        <f t="shared" si="773"/>
        <v>19</v>
      </c>
      <c r="K344" s="169">
        <v>23800</v>
      </c>
      <c r="L344" s="5">
        <f t="shared" si="780"/>
        <v>23800</v>
      </c>
      <c r="M344" s="411">
        <f t="shared" ref="M344" si="813">IFERROR(AVERAGE(L344:L346),"")</f>
        <v>24166.666666666668</v>
      </c>
      <c r="N344" s="411">
        <f t="shared" ref="N344" si="814">IFERROR(HARMEAN(L344:L346),"")</f>
        <v>24163.257151989772</v>
      </c>
      <c r="O344" s="411">
        <f t="shared" ref="O344" si="815">IFERROR(MEDIAN(L344:L346),"")</f>
        <v>24200</v>
      </c>
      <c r="P344" s="86">
        <f t="shared" si="768"/>
        <v>23800</v>
      </c>
      <c r="Q344" s="413">
        <f t="shared" ref="Q344" si="816">IFERROR(SUM(P344:P346)/COUNTA(K344:K346),"")</f>
        <v>24166.666666666668</v>
      </c>
      <c r="R344" s="411">
        <f t="shared" ref="R344" si="817">IFERROR(_xlfn.STDEV.S(L344:L346),"")</f>
        <v>351.18845842842467</v>
      </c>
      <c r="S344" s="415">
        <f t="shared" ref="S344" si="818">IFERROR(R344/M344,"")</f>
        <v>1.4531936210831365E-2</v>
      </c>
      <c r="T344" s="405" t="s">
        <v>2005</v>
      </c>
      <c r="U344" s="407">
        <f t="shared" si="740"/>
        <v>24166.666666666668</v>
      </c>
      <c r="V344" s="424" t="e" vm="134">
        <v>#VALUE!</v>
      </c>
    </row>
    <row r="345" spans="1:22" ht="45" customHeight="1" x14ac:dyDescent="0.3">
      <c r="A345" s="390"/>
      <c r="B345" s="266"/>
      <c r="C345" s="454"/>
      <c r="D345" s="454"/>
      <c r="E345" s="433"/>
      <c r="F345" s="435"/>
      <c r="G345" s="151">
        <v>1</v>
      </c>
      <c r="H345" s="24" t="s">
        <v>411</v>
      </c>
      <c r="I345" s="22">
        <f t="shared" si="772"/>
        <v>20336.134453781513</v>
      </c>
      <c r="J345" s="23">
        <f t="shared" si="773"/>
        <v>18.999999999999996</v>
      </c>
      <c r="K345" s="169">
        <v>24200</v>
      </c>
      <c r="L345" s="5">
        <f t="shared" si="780"/>
        <v>24200</v>
      </c>
      <c r="M345" s="412"/>
      <c r="N345" s="412"/>
      <c r="O345" s="412"/>
      <c r="P345" s="86">
        <f t="shared" si="768"/>
        <v>24200</v>
      </c>
      <c r="Q345" s="414"/>
      <c r="R345" s="412"/>
      <c r="S345" s="416"/>
      <c r="T345" s="406"/>
      <c r="U345" s="408"/>
      <c r="V345" s="425"/>
    </row>
    <row r="346" spans="1:22" ht="45" customHeight="1" x14ac:dyDescent="0.3">
      <c r="A346" s="390"/>
      <c r="B346" s="266"/>
      <c r="C346" s="454"/>
      <c r="D346" s="454"/>
      <c r="E346" s="433"/>
      <c r="F346" s="435"/>
      <c r="G346" s="151">
        <v>1</v>
      </c>
      <c r="H346" s="53" t="s">
        <v>461</v>
      </c>
      <c r="I346" s="22">
        <f t="shared" si="772"/>
        <v>20588.235294117647</v>
      </c>
      <c r="J346" s="23">
        <f t="shared" si="773"/>
        <v>19</v>
      </c>
      <c r="K346" s="169">
        <v>24500</v>
      </c>
      <c r="L346" s="5">
        <f t="shared" si="780"/>
        <v>24500</v>
      </c>
      <c r="M346" s="412"/>
      <c r="N346" s="412"/>
      <c r="O346" s="412"/>
      <c r="P346" s="86">
        <f t="shared" si="768"/>
        <v>24500</v>
      </c>
      <c r="Q346" s="414"/>
      <c r="R346" s="412"/>
      <c r="S346" s="416"/>
      <c r="T346" s="406"/>
      <c r="U346" s="408">
        <f t="shared" si="740"/>
        <v>0</v>
      </c>
      <c r="V346" s="425"/>
    </row>
    <row r="347" spans="1:22" ht="45" customHeight="1" x14ac:dyDescent="0.3">
      <c r="A347" s="389">
        <v>170</v>
      </c>
      <c r="B347" s="409">
        <v>31201600</v>
      </c>
      <c r="C347" s="453" t="s">
        <v>466</v>
      </c>
      <c r="D347" s="453" t="s">
        <v>467</v>
      </c>
      <c r="E347" s="432" t="s">
        <v>108</v>
      </c>
      <c r="F347" s="434" t="s">
        <v>71</v>
      </c>
      <c r="G347" s="151">
        <v>1</v>
      </c>
      <c r="H347" s="24" t="s">
        <v>461</v>
      </c>
      <c r="I347" s="22">
        <f t="shared" si="772"/>
        <v>51260.504201680676</v>
      </c>
      <c r="J347" s="23">
        <f t="shared" si="773"/>
        <v>18.999999999999989</v>
      </c>
      <c r="K347" s="169">
        <v>61000</v>
      </c>
      <c r="L347" s="5">
        <f t="shared" si="780"/>
        <v>61000</v>
      </c>
      <c r="M347" s="411">
        <f t="shared" ref="M347" si="819">IFERROR(AVERAGE(L347:L348),"")</f>
        <v>61000</v>
      </c>
      <c r="N347" s="411">
        <f t="shared" ref="N347" si="820">IFERROR(HARMEAN(L347:L348),"")</f>
        <v>60999.999999999993</v>
      </c>
      <c r="O347" s="411">
        <f t="shared" ref="O347" si="821">IFERROR(MEDIAN(L347:L348),"")</f>
        <v>61000</v>
      </c>
      <c r="P347" s="86">
        <f t="shared" si="768"/>
        <v>61000</v>
      </c>
      <c r="Q347" s="413">
        <f t="shared" ref="Q347" si="822">IFERROR(SUM(P347:P348)/COUNTA(K347:K348),"")</f>
        <v>61000</v>
      </c>
      <c r="R347" s="411">
        <f t="shared" ref="R347" si="823">IFERROR(_xlfn.STDEV.S(L347:L348),"")</f>
        <v>0</v>
      </c>
      <c r="S347" s="415">
        <f t="shared" ref="S347" si="824">IFERROR(R347/M347,"")</f>
        <v>0</v>
      </c>
      <c r="T347" s="417" t="s">
        <v>2005</v>
      </c>
      <c r="U347" s="407">
        <f t="shared" si="740"/>
        <v>61000</v>
      </c>
      <c r="V347" s="424" t="e" vm="135">
        <v>#VALUE!</v>
      </c>
    </row>
    <row r="348" spans="1:22" ht="45" customHeight="1" x14ac:dyDescent="0.3">
      <c r="A348" s="390"/>
      <c r="B348" s="266"/>
      <c r="C348" s="454"/>
      <c r="D348" s="454"/>
      <c r="E348" s="433"/>
      <c r="F348" s="435"/>
      <c r="G348" s="151">
        <v>1</v>
      </c>
      <c r="H348" s="53" t="s">
        <v>414</v>
      </c>
      <c r="I348" s="22">
        <f t="shared" si="772"/>
        <v>51260.504201680676</v>
      </c>
      <c r="J348" s="23">
        <f t="shared" si="773"/>
        <v>18.999999999999989</v>
      </c>
      <c r="K348" s="169">
        <v>61000</v>
      </c>
      <c r="L348" s="5">
        <f t="shared" si="780"/>
        <v>61000</v>
      </c>
      <c r="M348" s="412"/>
      <c r="N348" s="412"/>
      <c r="O348" s="412"/>
      <c r="P348" s="86">
        <f t="shared" si="768"/>
        <v>61000</v>
      </c>
      <c r="Q348" s="414"/>
      <c r="R348" s="412"/>
      <c r="S348" s="416"/>
      <c r="T348" s="418"/>
      <c r="U348" s="408">
        <f t="shared" si="740"/>
        <v>0</v>
      </c>
      <c r="V348" s="425"/>
    </row>
    <row r="349" spans="1:22" ht="45" customHeight="1" x14ac:dyDescent="0.3">
      <c r="A349" s="389">
        <v>171</v>
      </c>
      <c r="B349" s="409">
        <v>11131508</v>
      </c>
      <c r="C349" s="453" t="s">
        <v>468</v>
      </c>
      <c r="D349" s="453" t="s">
        <v>469</v>
      </c>
      <c r="E349" s="432" t="s">
        <v>39</v>
      </c>
      <c r="F349" s="434" t="s">
        <v>26</v>
      </c>
      <c r="G349" s="151">
        <v>1</v>
      </c>
      <c r="H349" s="24" t="s">
        <v>470</v>
      </c>
      <c r="I349" s="22">
        <f t="shared" si="772"/>
        <v>495</v>
      </c>
      <c r="J349" s="23">
        <f t="shared" si="773"/>
        <v>18.999999999999993</v>
      </c>
      <c r="K349" s="169">
        <v>589.04999999999995</v>
      </c>
      <c r="L349" s="5">
        <f t="shared" si="780"/>
        <v>589.04999999999995</v>
      </c>
      <c r="M349" s="411">
        <f t="shared" ref="M349" si="825">IFERROR(AVERAGE(L349:L350),"")</f>
        <v>568.22499999999991</v>
      </c>
      <c r="N349" s="411">
        <f t="shared" ref="N349" si="826">IFERROR(HARMEAN(L349:L350),"")</f>
        <v>567.46178010471203</v>
      </c>
      <c r="O349" s="411">
        <f t="shared" ref="O349" si="827">IFERROR(MEDIAN(L349:L350),"")</f>
        <v>568.22499999999991</v>
      </c>
      <c r="P349" s="86">
        <f t="shared" si="768"/>
        <v>589.04999999999995</v>
      </c>
      <c r="Q349" s="413">
        <f t="shared" ref="Q349" si="828">IFERROR(SUM(P349:P350)/COUNTA(K349:K350),"")</f>
        <v>568.22499999999991</v>
      </c>
      <c r="R349" s="411">
        <f t="shared" ref="R349" si="829">IFERROR(_xlfn.STDEV.S(L349:L350),"")</f>
        <v>29.450997436419687</v>
      </c>
      <c r="S349" s="415">
        <f t="shared" ref="S349" si="830">IFERROR(R349/M349,"")</f>
        <v>5.1829816422050583E-2</v>
      </c>
      <c r="T349" s="417" t="s">
        <v>2005</v>
      </c>
      <c r="U349" s="407">
        <f t="shared" si="740"/>
        <v>568.22499999999991</v>
      </c>
      <c r="V349" s="424"/>
    </row>
    <row r="350" spans="1:22" ht="45" customHeight="1" x14ac:dyDescent="0.3">
      <c r="A350" s="390"/>
      <c r="B350" s="266"/>
      <c r="C350" s="454"/>
      <c r="D350" s="454"/>
      <c r="E350" s="433"/>
      <c r="F350" s="435"/>
      <c r="G350" s="151">
        <v>1</v>
      </c>
      <c r="H350" s="53" t="s">
        <v>471</v>
      </c>
      <c r="I350" s="22">
        <f t="shared" si="772"/>
        <v>460</v>
      </c>
      <c r="J350" s="23">
        <f t="shared" si="773"/>
        <v>18.999999999999993</v>
      </c>
      <c r="K350" s="169">
        <v>547.4</v>
      </c>
      <c r="L350" s="5">
        <f t="shared" si="780"/>
        <v>547.4</v>
      </c>
      <c r="M350" s="412"/>
      <c r="N350" s="412"/>
      <c r="O350" s="412"/>
      <c r="P350" s="86">
        <f t="shared" si="768"/>
        <v>547.4</v>
      </c>
      <c r="Q350" s="414"/>
      <c r="R350" s="412"/>
      <c r="S350" s="416"/>
      <c r="T350" s="418"/>
      <c r="U350" s="408">
        <f t="shared" si="740"/>
        <v>0</v>
      </c>
      <c r="V350" s="425"/>
    </row>
    <row r="351" spans="1:22" ht="45" customHeight="1" x14ac:dyDescent="0.3">
      <c r="A351" s="389">
        <v>172</v>
      </c>
      <c r="B351" s="409">
        <v>11131508</v>
      </c>
      <c r="C351" s="453" t="s">
        <v>472</v>
      </c>
      <c r="D351" s="453" t="s">
        <v>2048</v>
      </c>
      <c r="E351" s="432" t="s">
        <v>39</v>
      </c>
      <c r="F351" s="434" t="s">
        <v>26</v>
      </c>
      <c r="G351" s="151">
        <v>1</v>
      </c>
      <c r="H351" s="24" t="s">
        <v>470</v>
      </c>
      <c r="I351" s="22">
        <f t="shared" si="772"/>
        <v>902.00000000000011</v>
      </c>
      <c r="J351" s="23">
        <f t="shared" si="773"/>
        <v>18.999999999999996</v>
      </c>
      <c r="K351" s="169">
        <v>1073.3800000000001</v>
      </c>
      <c r="L351" s="5">
        <f t="shared" si="780"/>
        <v>1073.3800000000001</v>
      </c>
      <c r="M351" s="411">
        <f>IFERROR(AVERAGE(L351:L352),"")</f>
        <v>941.29000000000008</v>
      </c>
      <c r="N351" s="411">
        <f t="shared" ref="N351" si="831">IFERROR(HARMEAN(L351:L352),"")</f>
        <v>922.75398230088501</v>
      </c>
      <c r="O351" s="411">
        <f t="shared" ref="O351" si="832">IFERROR(MEDIAN(L351:L352),"")</f>
        <v>941.29000000000008</v>
      </c>
      <c r="P351" s="86">
        <f t="shared" si="768"/>
        <v>1073.3800000000001</v>
      </c>
      <c r="Q351" s="413">
        <f t="shared" ref="Q351" si="833">IFERROR(SUM(P351:P352)/COUNTA(K351:K352),"")</f>
        <v>941.29000000000008</v>
      </c>
      <c r="R351" s="411">
        <f t="shared" ref="R351" si="834">IFERROR(_xlfn.STDEV.S(L351:L352),"")</f>
        <v>186.80346945386268</v>
      </c>
      <c r="S351" s="415">
        <f t="shared" ref="S351" si="835">IFERROR(R351/M351,"")</f>
        <v>0.19845474769078889</v>
      </c>
      <c r="T351" s="417" t="s">
        <v>2005</v>
      </c>
      <c r="U351" s="407">
        <f>M351</f>
        <v>941.29000000000008</v>
      </c>
      <c r="V351" s="424"/>
    </row>
    <row r="352" spans="1:22" ht="45" customHeight="1" x14ac:dyDescent="0.3">
      <c r="A352" s="390"/>
      <c r="B352" s="266"/>
      <c r="C352" s="454"/>
      <c r="D352" s="454"/>
      <c r="E352" s="433"/>
      <c r="F352" s="435"/>
      <c r="G352" s="151">
        <v>1</v>
      </c>
      <c r="H352" s="53" t="s">
        <v>471</v>
      </c>
      <c r="I352" s="22">
        <f t="shared" si="772"/>
        <v>680.00000000000011</v>
      </c>
      <c r="J352" s="23">
        <f t="shared" si="773"/>
        <v>18.999999999999986</v>
      </c>
      <c r="K352" s="169">
        <v>809.2</v>
      </c>
      <c r="L352" s="5">
        <f t="shared" si="780"/>
        <v>809.2</v>
      </c>
      <c r="M352" s="412"/>
      <c r="N352" s="412"/>
      <c r="O352" s="412"/>
      <c r="P352" s="86">
        <f t="shared" si="768"/>
        <v>809.2</v>
      </c>
      <c r="Q352" s="414"/>
      <c r="R352" s="412"/>
      <c r="S352" s="416"/>
      <c r="T352" s="418"/>
      <c r="U352" s="408">
        <f t="shared" si="740"/>
        <v>0</v>
      </c>
      <c r="V352" s="425"/>
    </row>
    <row r="353" spans="1:22" ht="45" customHeight="1" x14ac:dyDescent="0.3">
      <c r="A353" s="389">
        <v>173</v>
      </c>
      <c r="B353" s="409">
        <v>13101723</v>
      </c>
      <c r="C353" s="453" t="s">
        <v>473</v>
      </c>
      <c r="D353" s="453" t="s">
        <v>474</v>
      </c>
      <c r="E353" s="432" t="s">
        <v>475</v>
      </c>
      <c r="F353" s="434" t="s">
        <v>476</v>
      </c>
      <c r="G353" s="151">
        <v>1</v>
      </c>
      <c r="H353" s="24" t="s">
        <v>477</v>
      </c>
      <c r="I353" s="22">
        <f t="shared" si="772"/>
        <v>11344.53781512605</v>
      </c>
      <c r="J353" s="23">
        <f t="shared" si="773"/>
        <v>19.000000000000004</v>
      </c>
      <c r="K353" s="169">
        <v>13500</v>
      </c>
      <c r="L353" s="5">
        <f t="shared" si="780"/>
        <v>13500</v>
      </c>
      <c r="M353" s="411">
        <f t="shared" ref="M353" si="836">IFERROR(AVERAGE(L353:L354),"")</f>
        <v>13600</v>
      </c>
      <c r="N353" s="411">
        <f t="shared" ref="N353" si="837">IFERROR(HARMEAN(L353:L354),"")</f>
        <v>13599.264705882353</v>
      </c>
      <c r="O353" s="411">
        <f t="shared" ref="O353" si="838">IFERROR(MEDIAN(L353:L354),"")</f>
        <v>13600</v>
      </c>
      <c r="P353" s="86">
        <f t="shared" si="768"/>
        <v>13500</v>
      </c>
      <c r="Q353" s="413">
        <f t="shared" ref="Q353" si="839">IFERROR(SUM(P353:P354)/COUNTA(K353:K354),"")</f>
        <v>13600</v>
      </c>
      <c r="R353" s="411">
        <f t="shared" ref="R353" si="840">IFERROR(_xlfn.STDEV.S(L353:L354),"")</f>
        <v>141.42135623730951</v>
      </c>
      <c r="S353" s="415">
        <f t="shared" ref="S353" si="841">IFERROR(R353/M353,"")</f>
        <v>1.0398629135096288E-2</v>
      </c>
      <c r="T353" s="417" t="s">
        <v>2005</v>
      </c>
      <c r="U353" s="407">
        <f t="shared" si="740"/>
        <v>13600</v>
      </c>
      <c r="V353" s="424"/>
    </row>
    <row r="354" spans="1:22" ht="45" customHeight="1" x14ac:dyDescent="0.3">
      <c r="A354" s="390"/>
      <c r="B354" s="266"/>
      <c r="C354" s="454"/>
      <c r="D354" s="454"/>
      <c r="E354" s="433"/>
      <c r="F354" s="435"/>
      <c r="G354" s="151">
        <v>1</v>
      </c>
      <c r="H354" s="53" t="s">
        <v>478</v>
      </c>
      <c r="I354" s="22">
        <f t="shared" si="772"/>
        <v>11512.605042016807</v>
      </c>
      <c r="J354" s="23">
        <f t="shared" si="773"/>
        <v>19</v>
      </c>
      <c r="K354" s="169">
        <v>13700</v>
      </c>
      <c r="L354" s="5">
        <f t="shared" si="780"/>
        <v>13700</v>
      </c>
      <c r="M354" s="412"/>
      <c r="N354" s="412"/>
      <c r="O354" s="412"/>
      <c r="P354" s="86">
        <f t="shared" si="768"/>
        <v>13700</v>
      </c>
      <c r="Q354" s="414"/>
      <c r="R354" s="412"/>
      <c r="S354" s="416"/>
      <c r="T354" s="418"/>
      <c r="U354" s="408">
        <f t="shared" si="740"/>
        <v>0</v>
      </c>
      <c r="V354" s="425"/>
    </row>
    <row r="355" spans="1:22" ht="45" customHeight="1" x14ac:dyDescent="0.3">
      <c r="A355" s="389">
        <v>174</v>
      </c>
      <c r="B355" s="409">
        <v>31162007</v>
      </c>
      <c r="C355" s="453" t="s">
        <v>479</v>
      </c>
      <c r="D355" s="453" t="s">
        <v>480</v>
      </c>
      <c r="E355" s="432" t="s">
        <v>481</v>
      </c>
      <c r="F355" s="434" t="s">
        <v>373</v>
      </c>
      <c r="G355" s="151">
        <v>1</v>
      </c>
      <c r="H355" s="24" t="s">
        <v>482</v>
      </c>
      <c r="I355" s="22">
        <f t="shared" si="772"/>
        <v>11562.000000000002</v>
      </c>
      <c r="J355" s="23">
        <f t="shared" si="773"/>
        <v>18.999999999999986</v>
      </c>
      <c r="K355" s="169">
        <v>13758.78</v>
      </c>
      <c r="L355" s="5">
        <f t="shared" si="780"/>
        <v>13758.78</v>
      </c>
      <c r="M355" s="411">
        <f t="shared" ref="M355" si="842">IFERROR(AVERAGE(L355:L356),"")</f>
        <v>15506.89</v>
      </c>
      <c r="N355" s="411">
        <f t="shared" ref="N355" si="843">IFERROR(HARMEAN(L355:L356),"")</f>
        <v>15309.823497812908</v>
      </c>
      <c r="O355" s="411">
        <f t="shared" ref="O355" si="844">IFERROR(MEDIAN(L355:L356),"")</f>
        <v>15506.89</v>
      </c>
      <c r="P355" s="86">
        <f t="shared" si="768"/>
        <v>13758.78</v>
      </c>
      <c r="Q355" s="413">
        <f t="shared" ref="Q355" si="845">IFERROR(SUM(P355:P356)/COUNTA(K355:K356),"")</f>
        <v>15506.89</v>
      </c>
      <c r="R355" s="411">
        <f t="shared" ref="R355" si="846">IFERROR(_xlfn.STDEV.S(L355:L356),"")</f>
        <v>2472.2008705200365</v>
      </c>
      <c r="S355" s="415">
        <f t="shared" ref="S355" si="847">IFERROR(R355/M355,"")</f>
        <v>0.15942596294421618</v>
      </c>
      <c r="T355" s="417" t="s">
        <v>2005</v>
      </c>
      <c r="U355" s="407">
        <f t="shared" si="740"/>
        <v>15506.89</v>
      </c>
      <c r="V355" s="424" t="e" vm="136">
        <v>#VALUE!</v>
      </c>
    </row>
    <row r="356" spans="1:22" ht="45" customHeight="1" x14ac:dyDescent="0.3">
      <c r="A356" s="390"/>
      <c r="B356" s="266"/>
      <c r="C356" s="454"/>
      <c r="D356" s="454"/>
      <c r="E356" s="433"/>
      <c r="F356" s="435"/>
      <c r="G356" s="151">
        <v>1</v>
      </c>
      <c r="H356" s="53" t="s">
        <v>483</v>
      </c>
      <c r="I356" s="22">
        <f t="shared" si="772"/>
        <v>14500</v>
      </c>
      <c r="J356" s="23">
        <f t="shared" si="773"/>
        <v>19</v>
      </c>
      <c r="K356" s="169">
        <v>17255</v>
      </c>
      <c r="L356" s="5">
        <f t="shared" si="780"/>
        <v>17255</v>
      </c>
      <c r="M356" s="412"/>
      <c r="N356" s="412"/>
      <c r="O356" s="412"/>
      <c r="P356" s="86">
        <f t="shared" si="768"/>
        <v>17255</v>
      </c>
      <c r="Q356" s="414"/>
      <c r="R356" s="412"/>
      <c r="S356" s="416"/>
      <c r="T356" s="418"/>
      <c r="U356" s="408">
        <f t="shared" si="740"/>
        <v>0</v>
      </c>
      <c r="V356" s="425"/>
    </row>
    <row r="357" spans="1:22" ht="45" customHeight="1" x14ac:dyDescent="0.3">
      <c r="A357" s="389">
        <v>175</v>
      </c>
      <c r="B357" s="409">
        <v>31162007</v>
      </c>
      <c r="C357" s="453" t="s">
        <v>484</v>
      </c>
      <c r="D357" s="453" t="s">
        <v>485</v>
      </c>
      <c r="E357" s="432" t="s">
        <v>481</v>
      </c>
      <c r="F357" s="434" t="s">
        <v>373</v>
      </c>
      <c r="G357" s="151">
        <v>1</v>
      </c>
      <c r="H357" s="24" t="s">
        <v>486</v>
      </c>
      <c r="I357" s="22">
        <f t="shared" si="772"/>
        <v>16216.000000000002</v>
      </c>
      <c r="J357" s="23">
        <f t="shared" si="773"/>
        <v>18.999999999999993</v>
      </c>
      <c r="K357" s="169">
        <v>19297.04</v>
      </c>
      <c r="L357" s="5">
        <f t="shared" si="780"/>
        <v>19297.04</v>
      </c>
      <c r="M357" s="411">
        <f t="shared" ref="M357" si="848">IFERROR(AVERAGE(L357:L358),"")</f>
        <v>16148.52</v>
      </c>
      <c r="N357" s="411">
        <f t="shared" ref="N357" si="849">IFERROR(HARMEAN(L357:L358),"")</f>
        <v>15534.644660934873</v>
      </c>
      <c r="O357" s="411">
        <f t="shared" ref="O357" si="850">IFERROR(MEDIAN(L357:L358),"")</f>
        <v>16148.52</v>
      </c>
      <c r="P357" s="86">
        <f t="shared" si="768"/>
        <v>19297.04</v>
      </c>
      <c r="Q357" s="413">
        <f t="shared" ref="Q357" si="851">IFERROR(SUM(P357:P358)/COUNTA(K357:K358),"")</f>
        <v>16148.52</v>
      </c>
      <c r="R357" s="411">
        <f t="shared" ref="R357" si="852">IFERROR(_xlfn.STDEV.S(L357:L358),"")</f>
        <v>4452.679685402938</v>
      </c>
      <c r="S357" s="415">
        <f t="shared" ref="S357" si="853">IFERROR(R357/M357,"")</f>
        <v>0.27573298886851166</v>
      </c>
      <c r="T357" s="417" t="s">
        <v>2005</v>
      </c>
      <c r="U357" s="407">
        <f t="shared" si="740"/>
        <v>16148.52</v>
      </c>
      <c r="V357" s="424" t="e" vm="137">
        <v>#VALUE!</v>
      </c>
    </row>
    <row r="358" spans="1:22" ht="45" customHeight="1" x14ac:dyDescent="0.3">
      <c r="A358" s="390"/>
      <c r="B358" s="266"/>
      <c r="C358" s="454"/>
      <c r="D358" s="454"/>
      <c r="E358" s="433"/>
      <c r="F358" s="435"/>
      <c r="G358" s="151">
        <v>1</v>
      </c>
      <c r="H358" s="53" t="s">
        <v>411</v>
      </c>
      <c r="I358" s="22">
        <f t="shared" si="772"/>
        <v>10924.36974789916</v>
      </c>
      <c r="J358" s="23">
        <f t="shared" si="773"/>
        <v>18.999999999999996</v>
      </c>
      <c r="K358" s="169">
        <v>13000</v>
      </c>
      <c r="L358" s="5">
        <f t="shared" si="780"/>
        <v>13000</v>
      </c>
      <c r="M358" s="412"/>
      <c r="N358" s="412"/>
      <c r="O358" s="412"/>
      <c r="P358" s="86">
        <f t="shared" si="768"/>
        <v>13000</v>
      </c>
      <c r="Q358" s="414"/>
      <c r="R358" s="412"/>
      <c r="S358" s="416"/>
      <c r="T358" s="418"/>
      <c r="U358" s="408">
        <f t="shared" si="740"/>
        <v>0</v>
      </c>
      <c r="V358" s="425"/>
    </row>
    <row r="359" spans="1:22" ht="45" customHeight="1" x14ac:dyDescent="0.3">
      <c r="A359" s="389">
        <v>176</v>
      </c>
      <c r="B359" s="409">
        <v>39101609</v>
      </c>
      <c r="C359" s="453" t="s">
        <v>489</v>
      </c>
      <c r="D359" s="453" t="s">
        <v>490</v>
      </c>
      <c r="E359" s="432" t="s">
        <v>78</v>
      </c>
      <c r="F359" s="434" t="s">
        <v>79</v>
      </c>
      <c r="G359" s="151">
        <v>1</v>
      </c>
      <c r="H359" s="24" t="s">
        <v>491</v>
      </c>
      <c r="I359" s="22">
        <f t="shared" si="772"/>
        <v>13445.378151260506</v>
      </c>
      <c r="J359" s="23">
        <f t="shared" si="773"/>
        <v>18.999999999999989</v>
      </c>
      <c r="K359" s="169">
        <v>16000</v>
      </c>
      <c r="L359" s="5">
        <f t="shared" si="780"/>
        <v>16000</v>
      </c>
      <c r="M359" s="411">
        <f t="shared" ref="M359" si="854">IFERROR(AVERAGE(L359:L360),"")</f>
        <v>18250</v>
      </c>
      <c r="N359" s="411">
        <f t="shared" ref="N359" si="855">IFERROR(HARMEAN(L359:L360),"")</f>
        <v>17972.602739726026</v>
      </c>
      <c r="O359" s="411">
        <f t="shared" ref="O359" si="856">IFERROR(MEDIAN(L359:L360),"")</f>
        <v>18250</v>
      </c>
      <c r="P359" s="86">
        <f t="shared" si="768"/>
        <v>16000</v>
      </c>
      <c r="Q359" s="413">
        <f t="shared" ref="Q359" si="857">IFERROR(SUM(P359:P360)/COUNTA(K359:K360),"")</f>
        <v>18250</v>
      </c>
      <c r="R359" s="411">
        <f t="shared" ref="R359" si="858">IFERROR(_xlfn.STDEV.S(L359:L360),"")</f>
        <v>3181.9805153394636</v>
      </c>
      <c r="S359" s="415">
        <f t="shared" ref="S359" si="859">IFERROR(R359/M359,"")</f>
        <v>0.17435509673092953</v>
      </c>
      <c r="T359" s="417" t="s">
        <v>2005</v>
      </c>
      <c r="U359" s="407">
        <f t="shared" si="740"/>
        <v>18250</v>
      </c>
      <c r="V359" s="424"/>
    </row>
    <row r="360" spans="1:22" ht="45" customHeight="1" x14ac:dyDescent="0.3">
      <c r="A360" s="390"/>
      <c r="B360" s="266"/>
      <c r="C360" s="454"/>
      <c r="D360" s="454"/>
      <c r="E360" s="433"/>
      <c r="F360" s="435"/>
      <c r="G360" s="151">
        <v>1</v>
      </c>
      <c r="H360" s="53" t="s">
        <v>410</v>
      </c>
      <c r="I360" s="22">
        <f t="shared" si="772"/>
        <v>17226.89075630252</v>
      </c>
      <c r="J360" s="23">
        <f t="shared" si="773"/>
        <v>19.000000000000004</v>
      </c>
      <c r="K360" s="169">
        <v>20500</v>
      </c>
      <c r="L360" s="5">
        <f t="shared" si="780"/>
        <v>20500</v>
      </c>
      <c r="M360" s="412"/>
      <c r="N360" s="412"/>
      <c r="O360" s="412"/>
      <c r="P360" s="86">
        <f t="shared" si="768"/>
        <v>20500</v>
      </c>
      <c r="Q360" s="414"/>
      <c r="R360" s="412"/>
      <c r="S360" s="416"/>
      <c r="T360" s="418"/>
      <c r="U360" s="408">
        <f t="shared" si="740"/>
        <v>0</v>
      </c>
      <c r="V360" s="425"/>
    </row>
    <row r="361" spans="1:22" ht="45" customHeight="1" x14ac:dyDescent="0.3">
      <c r="A361" s="389">
        <v>177</v>
      </c>
      <c r="B361" s="409">
        <v>42142519</v>
      </c>
      <c r="C361" s="453" t="s">
        <v>492</v>
      </c>
      <c r="D361" s="453" t="s">
        <v>493</v>
      </c>
      <c r="E361" s="432" t="s">
        <v>78</v>
      </c>
      <c r="F361" s="494" t="s">
        <v>79</v>
      </c>
      <c r="G361" s="151">
        <v>1</v>
      </c>
      <c r="H361" s="24" t="s">
        <v>438</v>
      </c>
      <c r="I361" s="22">
        <f t="shared" si="772"/>
        <v>98207.563025210082</v>
      </c>
      <c r="J361" s="23">
        <f t="shared" si="773"/>
        <v>19.000000000000004</v>
      </c>
      <c r="K361" s="169">
        <v>116867</v>
      </c>
      <c r="L361" s="5">
        <f t="shared" si="780"/>
        <v>116867</v>
      </c>
      <c r="M361" s="411">
        <f t="shared" ref="M361" si="860">IFERROR(AVERAGE(L361:L362),"")</f>
        <v>109904</v>
      </c>
      <c r="N361" s="411">
        <f t="shared" ref="N361" si="861">IFERROR(HARMEAN(L361:L362),"")</f>
        <v>109462.85710256224</v>
      </c>
      <c r="O361" s="411">
        <f t="shared" ref="O361" si="862">IFERROR(MEDIAN(L361:L362),"")</f>
        <v>109904</v>
      </c>
      <c r="P361" s="86">
        <f t="shared" si="768"/>
        <v>116867</v>
      </c>
      <c r="Q361" s="413">
        <f t="shared" ref="Q361" si="863">IFERROR(SUM(P361:P362)/COUNTA(K361:K362),"")</f>
        <v>109904</v>
      </c>
      <c r="R361" s="411">
        <f t="shared" ref="R361" si="864">IFERROR(_xlfn.STDEV.S(L361:L362),"")</f>
        <v>9847.169034803861</v>
      </c>
      <c r="S361" s="415">
        <f t="shared" ref="S361" si="865">IFERROR(R361/M361,"")</f>
        <v>8.9597913040506821E-2</v>
      </c>
      <c r="T361" s="417" t="s">
        <v>2005</v>
      </c>
      <c r="U361" s="407">
        <f t="shared" si="740"/>
        <v>109904</v>
      </c>
      <c r="V361" s="424"/>
    </row>
    <row r="362" spans="1:22" ht="45" customHeight="1" x14ac:dyDescent="0.3">
      <c r="A362" s="390"/>
      <c r="B362" s="266"/>
      <c r="C362" s="454"/>
      <c r="D362" s="454"/>
      <c r="E362" s="433"/>
      <c r="F362" s="495"/>
      <c r="G362" s="151">
        <v>1</v>
      </c>
      <c r="H362" s="53" t="s">
        <v>494</v>
      </c>
      <c r="I362" s="22">
        <f t="shared" si="772"/>
        <v>86505.042016806721</v>
      </c>
      <c r="J362" s="23">
        <f t="shared" si="773"/>
        <v>19.000000000000004</v>
      </c>
      <c r="K362" s="169">
        <v>102941</v>
      </c>
      <c r="L362" s="5">
        <f t="shared" si="780"/>
        <v>102941</v>
      </c>
      <c r="M362" s="412"/>
      <c r="N362" s="412"/>
      <c r="O362" s="412"/>
      <c r="P362" s="86">
        <f t="shared" si="768"/>
        <v>102941</v>
      </c>
      <c r="Q362" s="414"/>
      <c r="R362" s="412"/>
      <c r="S362" s="416"/>
      <c r="T362" s="418"/>
      <c r="U362" s="408">
        <f t="shared" si="740"/>
        <v>0</v>
      </c>
      <c r="V362" s="425"/>
    </row>
    <row r="363" spans="1:22" ht="45" customHeight="1" x14ac:dyDescent="0.3">
      <c r="A363" s="389">
        <v>178</v>
      </c>
      <c r="B363" s="409">
        <v>11151701</v>
      </c>
      <c r="C363" s="453" t="s">
        <v>495</v>
      </c>
      <c r="D363" s="453" t="s">
        <v>496</v>
      </c>
      <c r="E363" s="432" t="s">
        <v>497</v>
      </c>
      <c r="F363" s="434" t="s">
        <v>476</v>
      </c>
      <c r="G363" s="151">
        <v>1</v>
      </c>
      <c r="H363" s="24" t="s">
        <v>498</v>
      </c>
      <c r="I363" s="22">
        <f t="shared" si="772"/>
        <v>9831.9327731092435</v>
      </c>
      <c r="J363" s="23">
        <f t="shared" si="773"/>
        <v>19.000000000000004</v>
      </c>
      <c r="K363" s="169">
        <v>11700</v>
      </c>
      <c r="L363" s="5">
        <f t="shared" si="780"/>
        <v>11700</v>
      </c>
      <c r="M363" s="411">
        <f t="shared" ref="M363" si="866">IFERROR(AVERAGE(L363:L364),"")</f>
        <v>11750</v>
      </c>
      <c r="N363" s="411">
        <f t="shared" ref="N363" si="867">IFERROR(HARMEAN(L363:L364),"")</f>
        <v>11749.787234042551</v>
      </c>
      <c r="O363" s="411">
        <f t="shared" ref="O363" si="868">IFERROR(MEDIAN(L363:L364),"")</f>
        <v>11750</v>
      </c>
      <c r="P363" s="86">
        <f t="shared" si="768"/>
        <v>11700</v>
      </c>
      <c r="Q363" s="413">
        <f t="shared" ref="Q363" si="869">IFERROR(SUM(P363:P364)/COUNTA(K363:K364),"")</f>
        <v>11750</v>
      </c>
      <c r="R363" s="411">
        <f t="shared" ref="R363" si="870">IFERROR(_xlfn.STDEV.S(L363:L364),"")</f>
        <v>70.710678118654755</v>
      </c>
      <c r="S363" s="415">
        <f t="shared" ref="S363" si="871">IFERROR(R363/M363,"")</f>
        <v>6.0179300526514686E-3</v>
      </c>
      <c r="T363" s="417" t="s">
        <v>2005</v>
      </c>
      <c r="U363" s="407">
        <f t="shared" si="740"/>
        <v>11750</v>
      </c>
      <c r="V363" s="424" t="e" vm="138">
        <v>#VALUE!</v>
      </c>
    </row>
    <row r="364" spans="1:22" ht="45" customHeight="1" x14ac:dyDescent="0.3">
      <c r="A364" s="390"/>
      <c r="B364" s="266"/>
      <c r="C364" s="454"/>
      <c r="D364" s="454"/>
      <c r="E364" s="433"/>
      <c r="F364" s="435"/>
      <c r="G364" s="151">
        <v>1</v>
      </c>
      <c r="H364" s="53" t="s">
        <v>499</v>
      </c>
      <c r="I364" s="22">
        <f t="shared" si="772"/>
        <v>9915.9663865546227</v>
      </c>
      <c r="J364" s="23">
        <f t="shared" si="773"/>
        <v>18.999999999999989</v>
      </c>
      <c r="K364" s="169">
        <v>11800</v>
      </c>
      <c r="L364" s="5">
        <f t="shared" si="780"/>
        <v>11800</v>
      </c>
      <c r="M364" s="412"/>
      <c r="N364" s="412"/>
      <c r="O364" s="412"/>
      <c r="P364" s="86">
        <f t="shared" si="768"/>
        <v>11800</v>
      </c>
      <c r="Q364" s="414"/>
      <c r="R364" s="412"/>
      <c r="S364" s="416"/>
      <c r="T364" s="418"/>
      <c r="U364" s="408">
        <f t="shared" si="740"/>
        <v>0</v>
      </c>
      <c r="V364" s="425"/>
    </row>
    <row r="365" spans="1:22" ht="45" customHeight="1" x14ac:dyDescent="0.3">
      <c r="A365" s="389">
        <v>179</v>
      </c>
      <c r="B365" s="409">
        <v>11151701</v>
      </c>
      <c r="C365" s="453" t="s">
        <v>500</v>
      </c>
      <c r="D365" s="453" t="s">
        <v>496</v>
      </c>
      <c r="E365" s="432" t="s">
        <v>497</v>
      </c>
      <c r="F365" s="434" t="s">
        <v>476</v>
      </c>
      <c r="G365" s="151">
        <v>1</v>
      </c>
      <c r="H365" s="24" t="s">
        <v>498</v>
      </c>
      <c r="I365" s="22">
        <f t="shared" si="772"/>
        <v>10756.302521008403</v>
      </c>
      <c r="J365" s="23">
        <f t="shared" si="773"/>
        <v>19</v>
      </c>
      <c r="K365" s="169">
        <v>12800</v>
      </c>
      <c r="L365" s="5">
        <f t="shared" si="780"/>
        <v>12800</v>
      </c>
      <c r="M365" s="411">
        <f t="shared" ref="M365" si="872">IFERROR(AVERAGE(L365:L366),"")</f>
        <v>13600</v>
      </c>
      <c r="N365" s="411">
        <f t="shared" ref="N365" si="873">IFERROR(HARMEAN(L365:L366),"")</f>
        <v>13552.941176470587</v>
      </c>
      <c r="O365" s="411">
        <f t="shared" ref="O365" si="874">IFERROR(MEDIAN(L365:L366),"")</f>
        <v>13600</v>
      </c>
      <c r="P365" s="86">
        <f t="shared" si="768"/>
        <v>12800</v>
      </c>
      <c r="Q365" s="413">
        <f t="shared" ref="Q365" si="875">IFERROR(SUM(P365:P366)/COUNTA(K365:K366),"")</f>
        <v>13600</v>
      </c>
      <c r="R365" s="411">
        <f t="shared" ref="R365" si="876">IFERROR(_xlfn.STDEV.S(L365:L366),"")</f>
        <v>1131.3708498984761</v>
      </c>
      <c r="S365" s="415">
        <f t="shared" ref="S365" si="877">IFERROR(R365/M365,"")</f>
        <v>8.3189033080770303E-2</v>
      </c>
      <c r="T365" s="417" t="s">
        <v>2005</v>
      </c>
      <c r="U365" s="407">
        <f t="shared" si="740"/>
        <v>13600</v>
      </c>
      <c r="V365" s="424" t="e" vm="139">
        <v>#VALUE!</v>
      </c>
    </row>
    <row r="366" spans="1:22" ht="45" customHeight="1" x14ac:dyDescent="0.3">
      <c r="A366" s="390"/>
      <c r="B366" s="266"/>
      <c r="C366" s="454"/>
      <c r="D366" s="454"/>
      <c r="E366" s="433"/>
      <c r="F366" s="435"/>
      <c r="G366" s="151">
        <v>1</v>
      </c>
      <c r="H366" s="53" t="s">
        <v>499</v>
      </c>
      <c r="I366" s="22">
        <f t="shared" si="772"/>
        <v>12100.840336134454</v>
      </c>
      <c r="J366" s="23">
        <f t="shared" si="773"/>
        <v>19.000000000000004</v>
      </c>
      <c r="K366" s="169">
        <v>14400</v>
      </c>
      <c r="L366" s="5">
        <f t="shared" si="780"/>
        <v>14400</v>
      </c>
      <c r="M366" s="412"/>
      <c r="N366" s="412"/>
      <c r="O366" s="412"/>
      <c r="P366" s="86">
        <f t="shared" si="768"/>
        <v>14400</v>
      </c>
      <c r="Q366" s="414"/>
      <c r="R366" s="412"/>
      <c r="S366" s="416"/>
      <c r="T366" s="418"/>
      <c r="U366" s="408">
        <f t="shared" si="740"/>
        <v>0</v>
      </c>
      <c r="V366" s="425"/>
    </row>
    <row r="367" spans="1:22" ht="45" customHeight="1" x14ac:dyDescent="0.3">
      <c r="A367" s="389">
        <v>180</v>
      </c>
      <c r="B367" s="409">
        <v>41104210</v>
      </c>
      <c r="C367" s="453" t="s">
        <v>501</v>
      </c>
      <c r="D367" s="493" t="s">
        <v>502</v>
      </c>
      <c r="E367" s="432" t="s">
        <v>108</v>
      </c>
      <c r="F367" s="434" t="s">
        <v>104</v>
      </c>
      <c r="G367" s="151">
        <v>1</v>
      </c>
      <c r="H367" s="24" t="s">
        <v>503</v>
      </c>
      <c r="I367" s="22">
        <f t="shared" si="772"/>
        <v>7563.0252100840344</v>
      </c>
      <c r="J367" s="23">
        <f t="shared" si="773"/>
        <v>18.999999999999989</v>
      </c>
      <c r="K367" s="169">
        <v>9000</v>
      </c>
      <c r="L367" s="5">
        <f t="shared" si="780"/>
        <v>9000</v>
      </c>
      <c r="M367" s="411">
        <f t="shared" ref="M367" si="878">IFERROR(AVERAGE(L367:L368),"")</f>
        <v>8950</v>
      </c>
      <c r="N367" s="411">
        <f t="shared" ref="N367" si="879">IFERROR(HARMEAN(L367:L368),"")</f>
        <v>8949.7206703910615</v>
      </c>
      <c r="O367" s="411">
        <f t="shared" ref="O367" si="880">IFERROR(MEDIAN(L367:L368),"")</f>
        <v>8950</v>
      </c>
      <c r="P367" s="86">
        <f t="shared" si="768"/>
        <v>9000</v>
      </c>
      <c r="Q367" s="413">
        <f t="shared" ref="Q367" si="881">IFERROR(SUM(P367:P368)/COUNTA(K367:K368),"")</f>
        <v>8950</v>
      </c>
      <c r="R367" s="411">
        <f t="shared" ref="R367" si="882">IFERROR(_xlfn.STDEV.S(L367:L368),"")</f>
        <v>70.710678118654755</v>
      </c>
      <c r="S367" s="415">
        <f t="shared" ref="S367" si="883">IFERROR(R367/M367,"")</f>
        <v>7.9006344266653351E-3</v>
      </c>
      <c r="T367" s="417" t="s">
        <v>2005</v>
      </c>
      <c r="U367" s="407">
        <f t="shared" si="740"/>
        <v>8950</v>
      </c>
      <c r="V367" s="424"/>
    </row>
    <row r="368" spans="1:22" ht="45" customHeight="1" x14ac:dyDescent="0.3">
      <c r="A368" s="390"/>
      <c r="B368" s="266"/>
      <c r="C368" s="454"/>
      <c r="D368" s="472"/>
      <c r="E368" s="433"/>
      <c r="F368" s="435"/>
      <c r="G368" s="151">
        <v>1</v>
      </c>
      <c r="H368" s="53" t="s">
        <v>182</v>
      </c>
      <c r="I368" s="22">
        <f t="shared" si="772"/>
        <v>7478.9915966386561</v>
      </c>
      <c r="J368" s="23">
        <f t="shared" si="773"/>
        <v>18.999999999999989</v>
      </c>
      <c r="K368" s="169">
        <v>8900</v>
      </c>
      <c r="L368" s="5">
        <f t="shared" si="780"/>
        <v>8900</v>
      </c>
      <c r="M368" s="412"/>
      <c r="N368" s="412"/>
      <c r="O368" s="412"/>
      <c r="P368" s="86">
        <f t="shared" si="768"/>
        <v>8900</v>
      </c>
      <c r="Q368" s="414"/>
      <c r="R368" s="412"/>
      <c r="S368" s="416"/>
      <c r="T368" s="418"/>
      <c r="U368" s="408">
        <f t="shared" si="740"/>
        <v>0</v>
      </c>
      <c r="V368" s="425"/>
    </row>
    <row r="369" spans="1:22" ht="45" customHeight="1" x14ac:dyDescent="0.3">
      <c r="A369" s="389">
        <v>181</v>
      </c>
      <c r="B369" s="409">
        <v>53141503</v>
      </c>
      <c r="C369" s="453" t="s">
        <v>504</v>
      </c>
      <c r="D369" s="453" t="s">
        <v>505</v>
      </c>
      <c r="E369" s="432" t="s">
        <v>78</v>
      </c>
      <c r="F369" s="434" t="s">
        <v>79</v>
      </c>
      <c r="G369" s="151">
        <v>1</v>
      </c>
      <c r="H369" s="24" t="s">
        <v>506</v>
      </c>
      <c r="I369" s="22">
        <f t="shared" si="772"/>
        <v>630.2521008403362</v>
      </c>
      <c r="J369" s="23">
        <f t="shared" si="773"/>
        <v>18.999999999999989</v>
      </c>
      <c r="K369" s="169">
        <v>750</v>
      </c>
      <c r="L369" s="5">
        <f t="shared" si="780"/>
        <v>750</v>
      </c>
      <c r="M369" s="411">
        <f t="shared" ref="M369" si="884">IFERROR(AVERAGE(L369:L372),"")</f>
        <v>769.5</v>
      </c>
      <c r="N369" s="411">
        <f t="shared" ref="N369" si="885">IFERROR(HARMEAN(L369:L372),"")</f>
        <v>768.22620971162598</v>
      </c>
      <c r="O369" s="411">
        <f t="shared" ref="O369" si="886">IFERROR(MEDIAN(L369:L372),"")</f>
        <v>751.5</v>
      </c>
      <c r="P369" s="86">
        <f t="shared" si="768"/>
        <v>750</v>
      </c>
      <c r="Q369" s="413">
        <f t="shared" ref="Q369" si="887">IFERROR(SUM(P369:P372)/COUNTA(K369:K372),"")</f>
        <v>769.5</v>
      </c>
      <c r="R369" s="411">
        <f t="shared" ref="R369" si="888">IFERROR(_xlfn.STDEV.S(L369:L372),"")</f>
        <v>37.009007912488912</v>
      </c>
      <c r="S369" s="415">
        <f t="shared" ref="S369" si="889">IFERROR(R369/M369,"")</f>
        <v>4.8094877079257844E-2</v>
      </c>
      <c r="T369" s="405" t="s">
        <v>2005</v>
      </c>
      <c r="U369" s="407">
        <f t="shared" si="740"/>
        <v>769.5</v>
      </c>
      <c r="V369" s="491" t="e" vm="140">
        <v>#VALUE!</v>
      </c>
    </row>
    <row r="370" spans="1:22" ht="45" customHeight="1" x14ac:dyDescent="0.3">
      <c r="A370" s="390"/>
      <c r="B370" s="266"/>
      <c r="C370" s="454"/>
      <c r="D370" s="454"/>
      <c r="E370" s="433"/>
      <c r="F370" s="435"/>
      <c r="G370" s="151">
        <v>1</v>
      </c>
      <c r="H370" s="24" t="s">
        <v>212</v>
      </c>
      <c r="I370" s="22">
        <f t="shared" si="772"/>
        <v>631.09243697478996</v>
      </c>
      <c r="J370" s="23">
        <f t="shared" si="773"/>
        <v>18.999999999999993</v>
      </c>
      <c r="K370" s="169">
        <v>751</v>
      </c>
      <c r="L370" s="5">
        <f t="shared" si="780"/>
        <v>751</v>
      </c>
      <c r="M370" s="412"/>
      <c r="N370" s="412"/>
      <c r="O370" s="412"/>
      <c r="P370" s="86">
        <f t="shared" si="768"/>
        <v>751</v>
      </c>
      <c r="Q370" s="414"/>
      <c r="R370" s="412"/>
      <c r="S370" s="416"/>
      <c r="T370" s="406"/>
      <c r="U370" s="408"/>
      <c r="V370" s="492"/>
    </row>
    <row r="371" spans="1:22" ht="45" customHeight="1" x14ac:dyDescent="0.3">
      <c r="A371" s="390"/>
      <c r="B371" s="266"/>
      <c r="C371" s="454"/>
      <c r="D371" s="454"/>
      <c r="E371" s="433"/>
      <c r="F371" s="435"/>
      <c r="G371" s="151">
        <v>1</v>
      </c>
      <c r="H371" s="24" t="s">
        <v>507</v>
      </c>
      <c r="I371" s="22">
        <f t="shared" si="772"/>
        <v>631.93277310924373</v>
      </c>
      <c r="J371" s="23">
        <f t="shared" si="773"/>
        <v>18.999999999999993</v>
      </c>
      <c r="K371" s="169">
        <v>752</v>
      </c>
      <c r="L371" s="5">
        <f t="shared" si="780"/>
        <v>752</v>
      </c>
      <c r="M371" s="412"/>
      <c r="N371" s="412"/>
      <c r="O371" s="412"/>
      <c r="P371" s="86">
        <f t="shared" si="768"/>
        <v>752</v>
      </c>
      <c r="Q371" s="414"/>
      <c r="R371" s="412"/>
      <c r="S371" s="416"/>
      <c r="T371" s="406"/>
      <c r="U371" s="408"/>
      <c r="V371" s="492"/>
    </row>
    <row r="372" spans="1:22" ht="45" customHeight="1" x14ac:dyDescent="0.3">
      <c r="A372" s="390"/>
      <c r="B372" s="266"/>
      <c r="C372" s="454"/>
      <c r="D372" s="454"/>
      <c r="E372" s="433"/>
      <c r="F372" s="435"/>
      <c r="G372" s="151">
        <v>1</v>
      </c>
      <c r="H372" s="53" t="s">
        <v>410</v>
      </c>
      <c r="I372" s="22">
        <f t="shared" si="772"/>
        <v>693.27731092436977</v>
      </c>
      <c r="J372" s="23">
        <f t="shared" si="773"/>
        <v>18.999999999999993</v>
      </c>
      <c r="K372" s="169">
        <v>825</v>
      </c>
      <c r="L372" s="5">
        <f t="shared" si="780"/>
        <v>825</v>
      </c>
      <c r="M372" s="412"/>
      <c r="N372" s="412"/>
      <c r="O372" s="412"/>
      <c r="P372" s="86">
        <f t="shared" si="768"/>
        <v>825</v>
      </c>
      <c r="Q372" s="414"/>
      <c r="R372" s="412"/>
      <c r="S372" s="416"/>
      <c r="T372" s="406"/>
      <c r="U372" s="408">
        <f t="shared" si="740"/>
        <v>0</v>
      </c>
      <c r="V372" s="492"/>
    </row>
    <row r="373" spans="1:22" ht="45" customHeight="1" x14ac:dyDescent="0.3">
      <c r="A373" s="389">
        <v>182</v>
      </c>
      <c r="B373" s="409">
        <v>42143605</v>
      </c>
      <c r="C373" s="453" t="s">
        <v>508</v>
      </c>
      <c r="D373" s="453" t="s">
        <v>509</v>
      </c>
      <c r="E373" s="432" t="s">
        <v>510</v>
      </c>
      <c r="F373" s="434" t="s">
        <v>511</v>
      </c>
      <c r="G373" s="151">
        <v>1</v>
      </c>
      <c r="H373" s="24" t="s">
        <v>512</v>
      </c>
      <c r="I373" s="22">
        <f t="shared" si="772"/>
        <v>631.93277310924373</v>
      </c>
      <c r="J373" s="23">
        <f t="shared" si="773"/>
        <v>18.999999999999993</v>
      </c>
      <c r="K373" s="169">
        <v>752</v>
      </c>
      <c r="L373" s="5">
        <f t="shared" si="780"/>
        <v>752</v>
      </c>
      <c r="M373" s="411">
        <f t="shared" ref="M373" si="890">IFERROR(AVERAGE(L373:L375),"")</f>
        <v>950.66666666666663</v>
      </c>
      <c r="N373" s="411">
        <f t="shared" ref="N373" si="891">IFERROR(HARMEAN(L373:L375),"")</f>
        <v>916.245487364621</v>
      </c>
      <c r="O373" s="411">
        <f t="shared" ref="O373" si="892">IFERROR(MEDIAN(L373:L375),"")</f>
        <v>900</v>
      </c>
      <c r="P373" s="86">
        <f t="shared" si="768"/>
        <v>752</v>
      </c>
      <c r="Q373" s="413">
        <f t="shared" ref="Q373" si="893">IFERROR(SUM(P373:P375)/COUNTA(K373:K375),"")</f>
        <v>950.66666666666663</v>
      </c>
      <c r="R373" s="411">
        <f t="shared" ref="R373" si="894">IFERROR(_xlfn.STDEV.S(L373:L375),"")</f>
        <v>228.25716491127557</v>
      </c>
      <c r="S373" s="415">
        <f t="shared" ref="S373" si="895">IFERROR(R373/M373,"")</f>
        <v>0.24010220712967276</v>
      </c>
      <c r="T373" s="405" t="s">
        <v>2005</v>
      </c>
      <c r="U373" s="407">
        <f t="shared" si="740"/>
        <v>950.66666666666663</v>
      </c>
      <c r="V373" s="424" t="e" vm="141">
        <v>#VALUE!</v>
      </c>
    </row>
    <row r="374" spans="1:22" ht="45" customHeight="1" x14ac:dyDescent="0.3">
      <c r="A374" s="390"/>
      <c r="B374" s="266"/>
      <c r="C374" s="454"/>
      <c r="D374" s="454"/>
      <c r="E374" s="433"/>
      <c r="F374" s="435"/>
      <c r="G374" s="151">
        <v>1</v>
      </c>
      <c r="H374" s="24" t="s">
        <v>513</v>
      </c>
      <c r="I374" s="22">
        <f t="shared" si="772"/>
        <v>756.30252100840335</v>
      </c>
      <c r="J374" s="23">
        <f t="shared" si="773"/>
        <v>19.000000000000004</v>
      </c>
      <c r="K374" s="169">
        <v>900</v>
      </c>
      <c r="L374" s="5">
        <f>IF(I374="","",(K374)*G374)</f>
        <v>900</v>
      </c>
      <c r="M374" s="412"/>
      <c r="N374" s="412"/>
      <c r="O374" s="412"/>
      <c r="P374" s="86">
        <f t="shared" si="768"/>
        <v>900</v>
      </c>
      <c r="Q374" s="414"/>
      <c r="R374" s="412"/>
      <c r="S374" s="416"/>
      <c r="T374" s="406"/>
      <c r="U374" s="408"/>
      <c r="V374" s="425"/>
    </row>
    <row r="375" spans="1:22" ht="45" customHeight="1" x14ac:dyDescent="0.3">
      <c r="A375" s="390"/>
      <c r="B375" s="266"/>
      <c r="C375" s="454"/>
      <c r="D375" s="454"/>
      <c r="E375" s="433"/>
      <c r="F375" s="435"/>
      <c r="G375" s="151">
        <v>1</v>
      </c>
      <c r="H375" s="53" t="s">
        <v>461</v>
      </c>
      <c r="I375" s="22">
        <f t="shared" si="772"/>
        <v>1008.4033613445379</v>
      </c>
      <c r="J375" s="23">
        <f t="shared" si="773"/>
        <v>18.999999999999993</v>
      </c>
      <c r="K375" s="169">
        <v>1200</v>
      </c>
      <c r="L375" s="5">
        <f t="shared" si="780"/>
        <v>1200</v>
      </c>
      <c r="M375" s="412"/>
      <c r="N375" s="412"/>
      <c r="O375" s="412"/>
      <c r="P375" s="86">
        <f t="shared" si="768"/>
        <v>1200</v>
      </c>
      <c r="Q375" s="414"/>
      <c r="R375" s="412"/>
      <c r="S375" s="416"/>
      <c r="T375" s="406"/>
      <c r="U375" s="408">
        <f t="shared" si="740"/>
        <v>0</v>
      </c>
      <c r="V375" s="425"/>
    </row>
    <row r="376" spans="1:22" ht="45" customHeight="1" x14ac:dyDescent="0.3">
      <c r="A376" s="389">
        <v>183</v>
      </c>
      <c r="B376" s="409">
        <v>42143605</v>
      </c>
      <c r="C376" s="453" t="s">
        <v>514</v>
      </c>
      <c r="D376" s="453" t="s">
        <v>515</v>
      </c>
      <c r="E376" s="432" t="s">
        <v>78</v>
      </c>
      <c r="F376" s="434" t="s">
        <v>79</v>
      </c>
      <c r="G376" s="151">
        <v>1</v>
      </c>
      <c r="H376" s="24" t="s">
        <v>512</v>
      </c>
      <c r="I376" s="22">
        <f t="shared" si="772"/>
        <v>672.26890756302521</v>
      </c>
      <c r="J376" s="23">
        <f t="shared" si="773"/>
        <v>19</v>
      </c>
      <c r="K376" s="169">
        <v>800</v>
      </c>
      <c r="L376" s="5">
        <f t="shared" si="780"/>
        <v>800</v>
      </c>
      <c r="M376" s="411">
        <f t="shared" ref="M376" si="896">IFERROR(AVERAGE(L376:L378),"")</f>
        <v>1166.6666666666667</v>
      </c>
      <c r="N376" s="411">
        <f t="shared" ref="N376" si="897">IFERROR(HARMEAN(L376:L378),"")</f>
        <v>1090.909090909091</v>
      </c>
      <c r="O376" s="411">
        <f t="shared" ref="O376" si="898">IFERROR(MEDIAN(L376:L378),"")</f>
        <v>1200</v>
      </c>
      <c r="P376" s="86">
        <f t="shared" si="768"/>
        <v>800</v>
      </c>
      <c r="Q376" s="413">
        <f t="shared" ref="Q376" si="899">IFERROR(SUM(P376:P378)/COUNTA(K376:K378),"")</f>
        <v>1166.6666666666667</v>
      </c>
      <c r="R376" s="411">
        <f t="shared" ref="R376" si="900">IFERROR(_xlfn.STDEV.S(L376:L378),"")</f>
        <v>351.1884584284245</v>
      </c>
      <c r="S376" s="415">
        <f t="shared" ref="S376" si="901">IFERROR(R376/M376,"")</f>
        <v>0.30101867865293525</v>
      </c>
      <c r="T376" s="405" t="s">
        <v>2005</v>
      </c>
      <c r="U376" s="407">
        <f t="shared" si="740"/>
        <v>1166.6666666666667</v>
      </c>
      <c r="V376" s="424" t="e" vm="141">
        <v>#VALUE!</v>
      </c>
    </row>
    <row r="377" spans="1:22" ht="45" customHeight="1" x14ac:dyDescent="0.3">
      <c r="A377" s="390"/>
      <c r="B377" s="266"/>
      <c r="C377" s="454"/>
      <c r="D377" s="454"/>
      <c r="E377" s="433"/>
      <c r="F377" s="435"/>
      <c r="G377" s="151">
        <v>1</v>
      </c>
      <c r="H377" s="24" t="s">
        <v>513</v>
      </c>
      <c r="I377" s="22">
        <f t="shared" si="772"/>
        <v>1008.4033613445379</v>
      </c>
      <c r="J377" s="23">
        <f t="shared" si="773"/>
        <v>18.999999999999993</v>
      </c>
      <c r="K377" s="169">
        <v>1200</v>
      </c>
      <c r="L377" s="5">
        <f t="shared" si="780"/>
        <v>1200</v>
      </c>
      <c r="M377" s="412"/>
      <c r="N377" s="412"/>
      <c r="O377" s="412"/>
      <c r="P377" s="86">
        <f t="shared" si="768"/>
        <v>1200</v>
      </c>
      <c r="Q377" s="414"/>
      <c r="R377" s="412"/>
      <c r="S377" s="416"/>
      <c r="T377" s="406"/>
      <c r="U377" s="408"/>
      <c r="V377" s="425"/>
    </row>
    <row r="378" spans="1:22" ht="45" customHeight="1" x14ac:dyDescent="0.3">
      <c r="A378" s="390"/>
      <c r="B378" s="266"/>
      <c r="C378" s="454"/>
      <c r="D378" s="454"/>
      <c r="E378" s="433"/>
      <c r="F378" s="435"/>
      <c r="G378" s="151">
        <v>1</v>
      </c>
      <c r="H378" s="53" t="s">
        <v>461</v>
      </c>
      <c r="I378" s="22">
        <f t="shared" si="772"/>
        <v>1260.5042016806724</v>
      </c>
      <c r="J378" s="23">
        <f t="shared" si="773"/>
        <v>18.999999999999989</v>
      </c>
      <c r="K378" s="169">
        <v>1500</v>
      </c>
      <c r="L378" s="5">
        <f t="shared" si="780"/>
        <v>1500</v>
      </c>
      <c r="M378" s="412"/>
      <c r="N378" s="412"/>
      <c r="O378" s="412"/>
      <c r="P378" s="86">
        <f t="shared" si="768"/>
        <v>1500</v>
      </c>
      <c r="Q378" s="414"/>
      <c r="R378" s="412"/>
      <c r="S378" s="416"/>
      <c r="T378" s="406"/>
      <c r="U378" s="408">
        <f t="shared" si="740"/>
        <v>0</v>
      </c>
      <c r="V378" s="425"/>
    </row>
    <row r="379" spans="1:22" ht="45" customHeight="1" x14ac:dyDescent="0.3">
      <c r="A379" s="488">
        <v>184</v>
      </c>
      <c r="B379" s="409">
        <v>42143605</v>
      </c>
      <c r="C379" s="453" t="s">
        <v>516</v>
      </c>
      <c r="D379" s="453" t="s">
        <v>515</v>
      </c>
      <c r="E379" s="432" t="s">
        <v>78</v>
      </c>
      <c r="F379" s="434" t="s">
        <v>79</v>
      </c>
      <c r="G379" s="151">
        <v>1</v>
      </c>
      <c r="H379" s="24" t="s">
        <v>512</v>
      </c>
      <c r="I379" s="22">
        <f t="shared" si="772"/>
        <v>1097.4789915966387</v>
      </c>
      <c r="J379" s="23">
        <f t="shared" si="773"/>
        <v>18.999999999999993</v>
      </c>
      <c r="K379" s="169">
        <v>1306</v>
      </c>
      <c r="L379" s="5">
        <f t="shared" si="780"/>
        <v>1306</v>
      </c>
      <c r="M379" s="411">
        <f>IFERROR(AVERAGE(L379:L381),"")</f>
        <v>1602</v>
      </c>
      <c r="N379" s="411">
        <f>IFERROR(HARMEAN(L379:L381),"")</f>
        <v>1326.5981768195629</v>
      </c>
      <c r="O379" s="411">
        <f>IFERROR(MEDIAN(L379:L381),"")</f>
        <v>1306</v>
      </c>
      <c r="P379" s="86">
        <f t="shared" si="768"/>
        <v>1306</v>
      </c>
      <c r="Q379" s="413">
        <f>IFERROR(SUM(P379:P381)/COUNTA(K379:K381),"")</f>
        <v>1602</v>
      </c>
      <c r="R379" s="411">
        <f>IFERROR(_xlfn.STDEV.S(L379:L381),"")</f>
        <v>887.81304338244547</v>
      </c>
      <c r="S379" s="415">
        <f t="shared" ref="S379" si="902">IFERROR(R379/M379,"")</f>
        <v>0.5541904140964079</v>
      </c>
      <c r="T379" s="405" t="s">
        <v>2005</v>
      </c>
      <c r="U379" s="407">
        <f t="shared" si="740"/>
        <v>1602</v>
      </c>
      <c r="V379" s="424" t="e" vm="141">
        <v>#VALUE!</v>
      </c>
    </row>
    <row r="380" spans="1:22" ht="45" customHeight="1" x14ac:dyDescent="0.3">
      <c r="A380" s="489"/>
      <c r="B380" s="266"/>
      <c r="C380" s="454"/>
      <c r="D380" s="454"/>
      <c r="E380" s="433"/>
      <c r="F380" s="435"/>
      <c r="G380" s="151">
        <v>1</v>
      </c>
      <c r="H380" s="24" t="s">
        <v>513</v>
      </c>
      <c r="I380" s="22">
        <f t="shared" si="772"/>
        <v>756.30252100840335</v>
      </c>
      <c r="J380" s="23">
        <f t="shared" si="773"/>
        <v>19.000000000000004</v>
      </c>
      <c r="K380" s="169">
        <v>900</v>
      </c>
      <c r="L380" s="5">
        <f t="shared" si="780"/>
        <v>900</v>
      </c>
      <c r="M380" s="412"/>
      <c r="N380" s="412"/>
      <c r="O380" s="412"/>
      <c r="P380" s="86">
        <f t="shared" si="768"/>
        <v>900</v>
      </c>
      <c r="Q380" s="414"/>
      <c r="R380" s="412"/>
      <c r="S380" s="416"/>
      <c r="T380" s="406"/>
      <c r="U380" s="408"/>
      <c r="V380" s="425"/>
    </row>
    <row r="381" spans="1:22" ht="45" customHeight="1" x14ac:dyDescent="0.3">
      <c r="A381" s="489"/>
      <c r="B381" s="266"/>
      <c r="C381" s="454"/>
      <c r="D381" s="454"/>
      <c r="E381" s="433"/>
      <c r="F381" s="435"/>
      <c r="G381" s="151">
        <v>1</v>
      </c>
      <c r="H381" s="24" t="s">
        <v>461</v>
      </c>
      <c r="I381" s="22">
        <f t="shared" si="772"/>
        <v>2184.8739495798322</v>
      </c>
      <c r="J381" s="23">
        <f t="shared" si="773"/>
        <v>18.999999999999982</v>
      </c>
      <c r="K381" s="169">
        <v>2600</v>
      </c>
      <c r="L381" s="5">
        <f t="shared" si="780"/>
        <v>2600</v>
      </c>
      <c r="M381" s="412"/>
      <c r="N381" s="412"/>
      <c r="O381" s="412"/>
      <c r="P381" s="86">
        <f t="shared" si="768"/>
        <v>2600</v>
      </c>
      <c r="Q381" s="414"/>
      <c r="R381" s="412"/>
      <c r="S381" s="416"/>
      <c r="T381" s="406"/>
      <c r="U381" s="408"/>
      <c r="V381" s="425"/>
    </row>
    <row r="382" spans="1:22" ht="45" customHeight="1" x14ac:dyDescent="0.3">
      <c r="A382" s="389">
        <v>185</v>
      </c>
      <c r="B382" s="409">
        <v>42143605</v>
      </c>
      <c r="C382" s="453" t="s">
        <v>517</v>
      </c>
      <c r="D382" s="453" t="s">
        <v>515</v>
      </c>
      <c r="E382" s="432" t="s">
        <v>78</v>
      </c>
      <c r="F382" s="434" t="s">
        <v>79</v>
      </c>
      <c r="G382" s="151">
        <v>1</v>
      </c>
      <c r="H382" s="24" t="s">
        <v>512</v>
      </c>
      <c r="I382" s="22">
        <f t="shared" si="772"/>
        <v>1050.420168067227</v>
      </c>
      <c r="J382" s="23">
        <f t="shared" si="773"/>
        <v>18.999999999999989</v>
      </c>
      <c r="K382" s="169">
        <v>1250</v>
      </c>
      <c r="L382" s="5">
        <f t="shared" si="780"/>
        <v>1250</v>
      </c>
      <c r="M382" s="411">
        <f>IFERROR(AVERAGE(L382:L384),"")</f>
        <v>2425</v>
      </c>
      <c r="N382" s="411">
        <f>IFERROR(HARMEAN(L382:L384),"")</f>
        <v>1855.6701030927836</v>
      </c>
      <c r="O382" s="411">
        <f t="shared" ref="O382" si="903">IFERROR(MEDIAN(L382:L384),"")</f>
        <v>2425</v>
      </c>
      <c r="P382" s="86">
        <f t="shared" si="768"/>
        <v>1250</v>
      </c>
      <c r="Q382" s="413">
        <f t="shared" ref="Q382" si="904">IFERROR(SUM(P382:P384)/COUNTA(K382:K384),"")</f>
        <v>1616.6666666666667</v>
      </c>
      <c r="R382" s="411">
        <f t="shared" ref="R382" si="905">IFERROR(_xlfn.STDEV.S(L382:L384),"")</f>
        <v>1661.7009357883867</v>
      </c>
      <c r="S382" s="415">
        <f t="shared" ref="S382" si="906">IFERROR(R382/M382,"")</f>
        <v>0.6852374992941801</v>
      </c>
      <c r="T382" s="405" t="s">
        <v>2005</v>
      </c>
      <c r="U382" s="407">
        <f>M382</f>
        <v>2425</v>
      </c>
      <c r="V382" s="424" t="e" vm="141">
        <v>#VALUE!</v>
      </c>
    </row>
    <row r="383" spans="1:22" ht="45" customHeight="1" x14ac:dyDescent="0.3">
      <c r="A383" s="390"/>
      <c r="B383" s="266"/>
      <c r="C383" s="454"/>
      <c r="D383" s="454"/>
      <c r="E383" s="433"/>
      <c r="F383" s="435"/>
      <c r="G383" s="151">
        <v>1</v>
      </c>
      <c r="H383" s="24" t="s">
        <v>513</v>
      </c>
      <c r="I383" s="22">
        <f t="shared" si="772"/>
        <v>1092.4369747899161</v>
      </c>
      <c r="J383" s="23">
        <f t="shared" si="773"/>
        <v>18.999999999999982</v>
      </c>
      <c r="K383" s="169">
        <v>1300</v>
      </c>
      <c r="L383" s="5"/>
      <c r="M383" s="412"/>
      <c r="N383" s="412"/>
      <c r="O383" s="412"/>
      <c r="P383" s="86"/>
      <c r="Q383" s="414"/>
      <c r="R383" s="412"/>
      <c r="S383" s="416"/>
      <c r="T383" s="406"/>
      <c r="U383" s="408"/>
      <c r="V383" s="425"/>
    </row>
    <row r="384" spans="1:22" ht="45" customHeight="1" x14ac:dyDescent="0.3">
      <c r="A384" s="390"/>
      <c r="B384" s="266"/>
      <c r="C384" s="454"/>
      <c r="D384" s="454"/>
      <c r="E384" s="433"/>
      <c r="F384" s="435"/>
      <c r="G384" s="151">
        <v>1</v>
      </c>
      <c r="H384" s="53" t="s">
        <v>461</v>
      </c>
      <c r="I384" s="22">
        <f t="shared" si="772"/>
        <v>3025.2100840336134</v>
      </c>
      <c r="J384" s="23">
        <f t="shared" si="773"/>
        <v>19.000000000000004</v>
      </c>
      <c r="K384" s="169">
        <v>3600</v>
      </c>
      <c r="L384" s="5">
        <f t="shared" si="780"/>
        <v>3600</v>
      </c>
      <c r="M384" s="412"/>
      <c r="N384" s="412"/>
      <c r="O384" s="412"/>
      <c r="P384" s="86">
        <f t="shared" si="768"/>
        <v>3600</v>
      </c>
      <c r="Q384" s="414"/>
      <c r="R384" s="412"/>
      <c r="S384" s="416"/>
      <c r="T384" s="406"/>
      <c r="U384" s="408">
        <f t="shared" ref="U384:U444" si="907">M384</f>
        <v>0</v>
      </c>
      <c r="V384" s="425"/>
    </row>
    <row r="385" spans="1:22" ht="45" customHeight="1" x14ac:dyDescent="0.3">
      <c r="A385" s="389">
        <v>186</v>
      </c>
      <c r="B385" s="409">
        <v>60121253</v>
      </c>
      <c r="C385" s="453" t="s">
        <v>518</v>
      </c>
      <c r="D385" s="453" t="s">
        <v>519</v>
      </c>
      <c r="E385" s="432" t="s">
        <v>78</v>
      </c>
      <c r="F385" s="434" t="s">
        <v>79</v>
      </c>
      <c r="G385" s="151">
        <v>1</v>
      </c>
      <c r="H385" s="24" t="s">
        <v>520</v>
      </c>
      <c r="I385" s="22">
        <f t="shared" si="772"/>
        <v>156262.18487394959</v>
      </c>
      <c r="J385" s="23">
        <f t="shared" si="773"/>
        <v>18.999999999999993</v>
      </c>
      <c r="K385" s="169">
        <v>185952</v>
      </c>
      <c r="L385" s="5">
        <f t="shared" si="780"/>
        <v>185952</v>
      </c>
      <c r="M385" s="411">
        <f t="shared" ref="M385" si="908">IFERROR(AVERAGE(L385:L386),"")</f>
        <v>167288.5</v>
      </c>
      <c r="N385" s="411">
        <f t="shared" ref="N385" si="909">IFERROR(HARMEAN(L385:L386),"")</f>
        <v>165206.31125271608</v>
      </c>
      <c r="O385" s="411">
        <f t="shared" ref="O385" si="910">IFERROR(MEDIAN(L385:L386),"")</f>
        <v>167288.5</v>
      </c>
      <c r="P385" s="86">
        <f t="shared" si="768"/>
        <v>185952</v>
      </c>
      <c r="Q385" s="413">
        <f t="shared" ref="Q385" si="911">IFERROR(SUM(P385:P386)/COUNTA(K385:K386),"")</f>
        <v>167288.5</v>
      </c>
      <c r="R385" s="411">
        <f t="shared" ref="R385" si="912">IFERROR(_xlfn.STDEV.S(L385:L386),"")</f>
        <v>26394.174821350258</v>
      </c>
      <c r="S385" s="415">
        <f t="shared" ref="S385" si="913">IFERROR(R385/M385,"")</f>
        <v>0.15777638523479054</v>
      </c>
      <c r="T385" s="417" t="s">
        <v>2005</v>
      </c>
      <c r="U385" s="407">
        <f t="shared" si="907"/>
        <v>167288.5</v>
      </c>
      <c r="V385" s="424"/>
    </row>
    <row r="386" spans="1:22" ht="45" customHeight="1" x14ac:dyDescent="0.3">
      <c r="A386" s="390"/>
      <c r="B386" s="266"/>
      <c r="C386" s="454"/>
      <c r="D386" s="454"/>
      <c r="E386" s="433"/>
      <c r="F386" s="435"/>
      <c r="G386" s="151">
        <v>1</v>
      </c>
      <c r="H386" s="53" t="s">
        <v>521</v>
      </c>
      <c r="I386" s="22">
        <f t="shared" si="772"/>
        <v>124894.95798319328</v>
      </c>
      <c r="J386" s="23">
        <f t="shared" si="773"/>
        <v>18.999999999999996</v>
      </c>
      <c r="K386" s="169">
        <v>148625</v>
      </c>
      <c r="L386" s="5">
        <f t="shared" si="780"/>
        <v>148625</v>
      </c>
      <c r="M386" s="412"/>
      <c r="N386" s="412"/>
      <c r="O386" s="412"/>
      <c r="P386" s="86">
        <f t="shared" si="768"/>
        <v>148625</v>
      </c>
      <c r="Q386" s="414"/>
      <c r="R386" s="412"/>
      <c r="S386" s="416"/>
      <c r="T386" s="418"/>
      <c r="U386" s="408">
        <f t="shared" si="907"/>
        <v>0</v>
      </c>
      <c r="V386" s="425"/>
    </row>
    <row r="387" spans="1:22" ht="45" customHeight="1" x14ac:dyDescent="0.3">
      <c r="A387" s="389">
        <v>187</v>
      </c>
      <c r="B387" s="409">
        <v>40151601</v>
      </c>
      <c r="C387" s="453" t="s">
        <v>522</v>
      </c>
      <c r="D387" s="453" t="s">
        <v>523</v>
      </c>
      <c r="E387" s="432" t="s">
        <v>78</v>
      </c>
      <c r="F387" s="434" t="s">
        <v>79</v>
      </c>
      <c r="G387" s="151">
        <v>1</v>
      </c>
      <c r="H387" s="24" t="s">
        <v>524</v>
      </c>
      <c r="I387" s="22">
        <f t="shared" si="772"/>
        <v>292871.42857142858</v>
      </c>
      <c r="J387" s="23">
        <f t="shared" si="773"/>
        <v>18.999999999999996</v>
      </c>
      <c r="K387" s="169">
        <v>348517</v>
      </c>
      <c r="L387" s="5">
        <f t="shared" si="780"/>
        <v>348517</v>
      </c>
      <c r="M387" s="411">
        <f t="shared" ref="M387" si="914">IFERROR(AVERAGE(L387:L388),"")</f>
        <v>352014.5</v>
      </c>
      <c r="N387" s="411">
        <f t="shared" ref="N387" si="915">IFERROR(HARMEAN(L387:L388),"")</f>
        <v>351979.74999325315</v>
      </c>
      <c r="O387" s="411">
        <f t="shared" ref="O387" si="916">IFERROR(MEDIAN(L387:L388),"")</f>
        <v>352014.5</v>
      </c>
      <c r="P387" s="86">
        <f t="shared" si="768"/>
        <v>348517</v>
      </c>
      <c r="Q387" s="413">
        <f t="shared" ref="Q387" si="917">IFERROR(SUM(P387:P388)/COUNTA(K387:K388),"")</f>
        <v>352014.5</v>
      </c>
      <c r="R387" s="411">
        <f t="shared" ref="R387" si="918">IFERROR(_xlfn.STDEV.S(L387:L388),"")</f>
        <v>4946.2119343999002</v>
      </c>
      <c r="S387" s="415">
        <f t="shared" ref="S387" si="919">IFERROR(R387/M387,"")</f>
        <v>1.405115963802599E-2</v>
      </c>
      <c r="T387" s="417" t="s">
        <v>2005</v>
      </c>
      <c r="U387" s="407">
        <f t="shared" si="907"/>
        <v>352014.5</v>
      </c>
      <c r="V387" s="424"/>
    </row>
    <row r="388" spans="1:22" ht="45" customHeight="1" x14ac:dyDescent="0.3">
      <c r="A388" s="390"/>
      <c r="B388" s="266"/>
      <c r="C388" s="454"/>
      <c r="D388" s="454"/>
      <c r="E388" s="433"/>
      <c r="F388" s="435"/>
      <c r="G388" s="151">
        <v>1</v>
      </c>
      <c r="H388" s="53" t="s">
        <v>525</v>
      </c>
      <c r="I388" s="22">
        <f t="shared" si="772"/>
        <v>298749.57983193279</v>
      </c>
      <c r="J388" s="23">
        <f t="shared" si="773"/>
        <v>18.999999999999993</v>
      </c>
      <c r="K388" s="169">
        <v>355512</v>
      </c>
      <c r="L388" s="5">
        <f t="shared" si="780"/>
        <v>355512</v>
      </c>
      <c r="M388" s="412"/>
      <c r="N388" s="412"/>
      <c r="O388" s="412"/>
      <c r="P388" s="86">
        <f t="shared" si="768"/>
        <v>355512</v>
      </c>
      <c r="Q388" s="414"/>
      <c r="R388" s="412"/>
      <c r="S388" s="416"/>
      <c r="T388" s="418"/>
      <c r="U388" s="408">
        <f t="shared" si="907"/>
        <v>0</v>
      </c>
      <c r="V388" s="425"/>
    </row>
    <row r="389" spans="1:22" ht="45" customHeight="1" x14ac:dyDescent="0.3">
      <c r="A389" s="389">
        <v>188</v>
      </c>
      <c r="B389" s="409">
        <v>30266402</v>
      </c>
      <c r="C389" s="453" t="s">
        <v>527</v>
      </c>
      <c r="D389" s="453" t="s">
        <v>2049</v>
      </c>
      <c r="E389" s="432" t="s">
        <v>497</v>
      </c>
      <c r="F389" s="434" t="s">
        <v>476</v>
      </c>
      <c r="G389" s="151">
        <v>1</v>
      </c>
      <c r="H389" s="24" t="s">
        <v>461</v>
      </c>
      <c r="I389" s="22">
        <f t="shared" si="772"/>
        <v>46218.487394957985</v>
      </c>
      <c r="J389" s="23">
        <f t="shared" si="773"/>
        <v>18.999999999999993</v>
      </c>
      <c r="K389" s="169">
        <v>55000</v>
      </c>
      <c r="L389" s="5">
        <f t="shared" si="780"/>
        <v>55000</v>
      </c>
      <c r="M389" s="411">
        <f t="shared" ref="M389" si="920">IFERROR(AVERAGE(L389:L390),"")</f>
        <v>53500</v>
      </c>
      <c r="N389" s="411">
        <f t="shared" ref="N389" si="921">IFERROR(HARMEAN(L389:L390),"")</f>
        <v>53457.943925233638</v>
      </c>
      <c r="O389" s="411">
        <f t="shared" ref="O389" si="922">IFERROR(MEDIAN(L389:L390),"")</f>
        <v>53500</v>
      </c>
      <c r="P389" s="86">
        <f t="shared" ref="P389:P452" si="923">IF(L389="","",L389)</f>
        <v>55000</v>
      </c>
      <c r="Q389" s="413">
        <f t="shared" ref="Q389" si="924">IFERROR(SUM(P389:P390)/COUNTA(K389:K390),"")</f>
        <v>53500</v>
      </c>
      <c r="R389" s="411">
        <f t="shared" ref="R389" si="925">IFERROR(_xlfn.STDEV.S(L389:L390),"")</f>
        <v>2121.3203435596424</v>
      </c>
      <c r="S389" s="415">
        <f t="shared" ref="S389" si="926">IFERROR(R389/M389,"")</f>
        <v>3.9650847543170886E-2</v>
      </c>
      <c r="T389" s="417" t="s">
        <v>2005</v>
      </c>
      <c r="U389" s="407">
        <f t="shared" si="907"/>
        <v>53500</v>
      </c>
      <c r="V389" s="424"/>
    </row>
    <row r="390" spans="1:22" ht="45" customHeight="1" x14ac:dyDescent="0.3">
      <c r="A390" s="390"/>
      <c r="B390" s="266"/>
      <c r="C390" s="454"/>
      <c r="D390" s="454"/>
      <c r="E390" s="433"/>
      <c r="F390" s="435"/>
      <c r="G390" s="151">
        <v>1</v>
      </c>
      <c r="H390" s="53" t="s">
        <v>528</v>
      </c>
      <c r="I390" s="22">
        <f t="shared" ref="I390:I453" si="927">IFERROR(K390/((100+J390)/100),"")</f>
        <v>43697.478991596639</v>
      </c>
      <c r="J390" s="23">
        <f t="shared" si="773"/>
        <v>18.999999999999996</v>
      </c>
      <c r="K390" s="169">
        <v>52000</v>
      </c>
      <c r="L390" s="5">
        <f t="shared" si="780"/>
        <v>52000</v>
      </c>
      <c r="M390" s="412"/>
      <c r="N390" s="412"/>
      <c r="O390" s="412"/>
      <c r="P390" s="86">
        <f t="shared" si="923"/>
        <v>52000</v>
      </c>
      <c r="Q390" s="414"/>
      <c r="R390" s="412"/>
      <c r="S390" s="416"/>
      <c r="T390" s="418"/>
      <c r="U390" s="408">
        <f t="shared" si="907"/>
        <v>0</v>
      </c>
      <c r="V390" s="425"/>
    </row>
    <row r="391" spans="1:22" ht="45" customHeight="1" x14ac:dyDescent="0.3">
      <c r="A391" s="389">
        <v>189</v>
      </c>
      <c r="B391" s="409">
        <v>44121618</v>
      </c>
      <c r="C391" s="453" t="s">
        <v>529</v>
      </c>
      <c r="D391" s="471" t="s">
        <v>2050</v>
      </c>
      <c r="E391" s="432" t="s">
        <v>530</v>
      </c>
      <c r="F391" s="434" t="s">
        <v>476</v>
      </c>
      <c r="G391" s="151">
        <v>1</v>
      </c>
      <c r="H391" s="24" t="s">
        <v>461</v>
      </c>
      <c r="I391" s="22">
        <f t="shared" si="927"/>
        <v>81512.605042016818</v>
      </c>
      <c r="J391" s="23">
        <f t="shared" ref="J391:J454" si="928">IF(K391="","",(K391-(K391/1.19))/(K391/1.19)*100)</f>
        <v>18.999999999999982</v>
      </c>
      <c r="K391" s="169">
        <v>97000</v>
      </c>
      <c r="L391" s="5">
        <f t="shared" si="780"/>
        <v>97000</v>
      </c>
      <c r="M391" s="411">
        <f t="shared" ref="M391" si="929">IFERROR(AVERAGE(L391:L392),"")</f>
        <v>88500</v>
      </c>
      <c r="N391" s="411">
        <f t="shared" ref="N391" si="930">IFERROR(HARMEAN(L391:L392),"")</f>
        <v>87683.615819209037</v>
      </c>
      <c r="O391" s="411">
        <f t="shared" ref="O391" si="931">IFERROR(MEDIAN(L391:L392),"")</f>
        <v>88500</v>
      </c>
      <c r="P391" s="86">
        <f t="shared" si="923"/>
        <v>97000</v>
      </c>
      <c r="Q391" s="413">
        <f t="shared" ref="Q391" si="932">IFERROR(SUM(P391:P392)/COUNTA(K391:K392),"")</f>
        <v>88500</v>
      </c>
      <c r="R391" s="411">
        <f t="shared" ref="R391" si="933">IFERROR(_xlfn.STDEV.S(L391:L392),"")</f>
        <v>12020.815280171308</v>
      </c>
      <c r="S391" s="415">
        <f t="shared" ref="S391" si="934">IFERROR(R391/M391,"")</f>
        <v>0.13582842124487354</v>
      </c>
      <c r="T391" s="417" t="s">
        <v>2005</v>
      </c>
      <c r="U391" s="407">
        <f t="shared" si="907"/>
        <v>88500</v>
      </c>
      <c r="V391" s="424"/>
    </row>
    <row r="392" spans="1:22" ht="45" customHeight="1" x14ac:dyDescent="0.3">
      <c r="A392" s="390"/>
      <c r="B392" s="266"/>
      <c r="C392" s="454"/>
      <c r="D392" s="472"/>
      <c r="E392" s="433"/>
      <c r="F392" s="435"/>
      <c r="G392" s="151">
        <v>1</v>
      </c>
      <c r="H392" s="53" t="s">
        <v>528</v>
      </c>
      <c r="I392" s="22">
        <f t="shared" si="927"/>
        <v>67226.890756302528</v>
      </c>
      <c r="J392" s="23">
        <f t="shared" si="928"/>
        <v>18.999999999999989</v>
      </c>
      <c r="K392" s="169">
        <v>80000</v>
      </c>
      <c r="L392" s="5">
        <f t="shared" ref="L392:L455" si="935">IF(I392="","",(K392)*G392)</f>
        <v>80000</v>
      </c>
      <c r="M392" s="412"/>
      <c r="N392" s="412"/>
      <c r="O392" s="412"/>
      <c r="P392" s="86">
        <f t="shared" si="923"/>
        <v>80000</v>
      </c>
      <c r="Q392" s="414"/>
      <c r="R392" s="412"/>
      <c r="S392" s="416"/>
      <c r="T392" s="418"/>
      <c r="U392" s="408">
        <f t="shared" si="907"/>
        <v>0</v>
      </c>
      <c r="V392" s="425"/>
    </row>
    <row r="393" spans="1:22" ht="45" customHeight="1" x14ac:dyDescent="0.3">
      <c r="A393" s="389">
        <v>190</v>
      </c>
      <c r="B393" s="484" t="s">
        <v>531</v>
      </c>
      <c r="C393" s="453" t="s">
        <v>532</v>
      </c>
      <c r="D393" s="453" t="s">
        <v>533</v>
      </c>
      <c r="E393" s="432" t="s">
        <v>534</v>
      </c>
      <c r="F393" s="434" t="s">
        <v>476</v>
      </c>
      <c r="G393" s="151">
        <v>1</v>
      </c>
      <c r="H393" s="24" t="s">
        <v>535</v>
      </c>
      <c r="I393" s="22">
        <f t="shared" si="927"/>
        <v>20168.067226890758</v>
      </c>
      <c r="J393" s="23">
        <f t="shared" si="928"/>
        <v>18.999999999999989</v>
      </c>
      <c r="K393" s="169">
        <v>24000</v>
      </c>
      <c r="L393" s="5">
        <f t="shared" si="935"/>
        <v>24000</v>
      </c>
      <c r="M393" s="411">
        <f t="shared" ref="M393" si="936">IFERROR(AVERAGE(L393:L394),"")</f>
        <v>25200</v>
      </c>
      <c r="N393" s="411">
        <f t="shared" ref="N393" si="937">IFERROR(HARMEAN(L393:L394),"")</f>
        <v>25142.857142857145</v>
      </c>
      <c r="O393" s="411">
        <f t="shared" ref="O393" si="938">IFERROR(MEDIAN(L393:L394),"")</f>
        <v>25200</v>
      </c>
      <c r="P393" s="86">
        <f t="shared" si="923"/>
        <v>24000</v>
      </c>
      <c r="Q393" s="413">
        <f t="shared" ref="Q393" si="939">IFERROR(SUM(P393:P394)/COUNTA(K393:K394),"")</f>
        <v>25200</v>
      </c>
      <c r="R393" s="411">
        <f t="shared" ref="R393" si="940">IFERROR(_xlfn.STDEV.S(L393:L394),"")</f>
        <v>1697.0562748477141</v>
      </c>
      <c r="S393" s="415">
        <f t="shared" ref="S393" si="941">IFERROR(R393/M393,"")</f>
        <v>6.7343502970147393E-2</v>
      </c>
      <c r="T393" s="417" t="s">
        <v>2005</v>
      </c>
      <c r="U393" s="407">
        <f t="shared" si="907"/>
        <v>25200</v>
      </c>
      <c r="V393" s="424" t="e" vm="142">
        <v>#VALUE!</v>
      </c>
    </row>
    <row r="394" spans="1:22" ht="45" customHeight="1" x14ac:dyDescent="0.3">
      <c r="A394" s="390"/>
      <c r="B394" s="266"/>
      <c r="C394" s="454"/>
      <c r="D394" s="454"/>
      <c r="E394" s="433"/>
      <c r="F394" s="435"/>
      <c r="G394" s="151">
        <v>1</v>
      </c>
      <c r="H394" s="53" t="s">
        <v>536</v>
      </c>
      <c r="I394" s="22">
        <f t="shared" si="927"/>
        <v>22184.873949579833</v>
      </c>
      <c r="J394" s="23">
        <f t="shared" si="928"/>
        <v>18.999999999999993</v>
      </c>
      <c r="K394" s="169">
        <v>26400</v>
      </c>
      <c r="L394" s="5">
        <f t="shared" si="935"/>
        <v>26400</v>
      </c>
      <c r="M394" s="412"/>
      <c r="N394" s="412"/>
      <c r="O394" s="412"/>
      <c r="P394" s="86">
        <f t="shared" si="923"/>
        <v>26400</v>
      </c>
      <c r="Q394" s="414"/>
      <c r="R394" s="412"/>
      <c r="S394" s="416"/>
      <c r="T394" s="418"/>
      <c r="U394" s="408">
        <f t="shared" si="907"/>
        <v>0</v>
      </c>
      <c r="V394" s="425"/>
    </row>
    <row r="395" spans="1:22" ht="45" customHeight="1" x14ac:dyDescent="0.3">
      <c r="A395" s="389">
        <v>191</v>
      </c>
      <c r="B395" s="409">
        <v>11151604</v>
      </c>
      <c r="C395" s="453" t="s">
        <v>537</v>
      </c>
      <c r="D395" s="453" t="s">
        <v>538</v>
      </c>
      <c r="E395" s="432" t="s">
        <v>42</v>
      </c>
      <c r="F395" s="434" t="s">
        <v>539</v>
      </c>
      <c r="G395" s="151">
        <v>1</v>
      </c>
      <c r="H395" s="24" t="s">
        <v>540</v>
      </c>
      <c r="I395" s="22">
        <f t="shared" si="927"/>
        <v>17058.823529411766</v>
      </c>
      <c r="J395" s="23">
        <f t="shared" si="928"/>
        <v>18.999999999999993</v>
      </c>
      <c r="K395" s="169">
        <v>20300</v>
      </c>
      <c r="L395" s="5">
        <f t="shared" si="935"/>
        <v>20300</v>
      </c>
      <c r="M395" s="411">
        <f t="shared" ref="M395" si="942">IFERROR(AVERAGE(L395:L396),"")</f>
        <v>21100</v>
      </c>
      <c r="N395" s="411">
        <f t="shared" ref="N395" si="943">IFERROR(HARMEAN(L395:L396),"")</f>
        <v>21069.668246445493</v>
      </c>
      <c r="O395" s="411">
        <f t="shared" ref="O395" si="944">IFERROR(MEDIAN(L395:L396),"")</f>
        <v>21100</v>
      </c>
      <c r="P395" s="86">
        <f t="shared" si="923"/>
        <v>20300</v>
      </c>
      <c r="Q395" s="413">
        <f t="shared" ref="Q395" si="945">IFERROR(SUM(P395:P396)/COUNTA(K395:K396),"")</f>
        <v>21100</v>
      </c>
      <c r="R395" s="411">
        <f t="shared" ref="R395" si="946">IFERROR(_xlfn.STDEV.S(L395:L396),"")</f>
        <v>1131.3708498984761</v>
      </c>
      <c r="S395" s="415">
        <f t="shared" ref="S395" si="947">IFERROR(R395/M395,"")</f>
        <v>5.3619471559169483E-2</v>
      </c>
      <c r="T395" s="417" t="s">
        <v>2005</v>
      </c>
      <c r="U395" s="407">
        <f t="shared" si="907"/>
        <v>21100</v>
      </c>
      <c r="V395" s="424"/>
    </row>
    <row r="396" spans="1:22" ht="45" customHeight="1" x14ac:dyDescent="0.3">
      <c r="A396" s="390"/>
      <c r="B396" s="266"/>
      <c r="C396" s="454"/>
      <c r="D396" s="454"/>
      <c r="E396" s="433"/>
      <c r="F396" s="435"/>
      <c r="G396" s="151">
        <v>1</v>
      </c>
      <c r="H396" s="53" t="s">
        <v>541</v>
      </c>
      <c r="I396" s="22">
        <f t="shared" si="927"/>
        <v>18403.361344537814</v>
      </c>
      <c r="J396" s="23">
        <f t="shared" si="928"/>
        <v>19.000000000000007</v>
      </c>
      <c r="K396" s="169">
        <v>21900</v>
      </c>
      <c r="L396" s="5">
        <f t="shared" si="935"/>
        <v>21900</v>
      </c>
      <c r="M396" s="412"/>
      <c r="N396" s="412"/>
      <c r="O396" s="412"/>
      <c r="P396" s="86">
        <f t="shared" si="923"/>
        <v>21900</v>
      </c>
      <c r="Q396" s="414"/>
      <c r="R396" s="412"/>
      <c r="S396" s="416"/>
      <c r="T396" s="418"/>
      <c r="U396" s="408">
        <f t="shared" si="907"/>
        <v>0</v>
      </c>
      <c r="V396" s="425"/>
    </row>
    <row r="397" spans="1:22" ht="45" customHeight="1" x14ac:dyDescent="0.3">
      <c r="A397" s="389">
        <v>192</v>
      </c>
      <c r="B397" s="409">
        <v>11151604</v>
      </c>
      <c r="C397" s="453" t="s">
        <v>542</v>
      </c>
      <c r="D397" s="453" t="s">
        <v>538</v>
      </c>
      <c r="E397" s="432" t="s">
        <v>42</v>
      </c>
      <c r="F397" s="434" t="s">
        <v>539</v>
      </c>
      <c r="G397" s="151">
        <v>1</v>
      </c>
      <c r="H397" s="24" t="s">
        <v>409</v>
      </c>
      <c r="I397" s="22">
        <f t="shared" si="927"/>
        <v>24789.915966386554</v>
      </c>
      <c r="J397" s="23">
        <f t="shared" si="928"/>
        <v>19.000000000000004</v>
      </c>
      <c r="K397" s="169">
        <v>29500</v>
      </c>
      <c r="L397" s="5">
        <f t="shared" si="935"/>
        <v>29500</v>
      </c>
      <c r="M397" s="411">
        <f t="shared" ref="M397" si="948">IFERROR(AVERAGE(L397:L398),"")</f>
        <v>32991.5</v>
      </c>
      <c r="N397" s="411">
        <f t="shared" ref="N397" si="949">IFERROR(HARMEAN(L397:L398),"")</f>
        <v>32621.993543791581</v>
      </c>
      <c r="O397" s="411">
        <f t="shared" ref="O397" si="950">IFERROR(MEDIAN(L397:L398),"")</f>
        <v>32991.5</v>
      </c>
      <c r="P397" s="86">
        <f t="shared" si="923"/>
        <v>29500</v>
      </c>
      <c r="Q397" s="413">
        <f t="shared" ref="Q397" si="951">IFERROR(SUM(P397:P398)/COUNTA(K397:K398),"")</f>
        <v>32991.5</v>
      </c>
      <c r="R397" s="411">
        <f t="shared" ref="R397" si="952">IFERROR(_xlfn.STDEV.S(L397:L398),"")</f>
        <v>4937.7266530256611</v>
      </c>
      <c r="S397" s="415">
        <f t="shared" ref="S397" si="953">IFERROR(R397/M397,"")</f>
        <v>0.14966663089055246</v>
      </c>
      <c r="T397" s="417" t="s">
        <v>2005</v>
      </c>
      <c r="U397" s="407">
        <f t="shared" si="907"/>
        <v>32991.5</v>
      </c>
      <c r="V397" s="424"/>
    </row>
    <row r="398" spans="1:22" ht="45" customHeight="1" x14ac:dyDescent="0.3">
      <c r="A398" s="390"/>
      <c r="B398" s="266"/>
      <c r="C398" s="454"/>
      <c r="D398" s="454"/>
      <c r="E398" s="433"/>
      <c r="F398" s="435"/>
      <c r="G398" s="151">
        <v>1</v>
      </c>
      <c r="H398" s="53" t="s">
        <v>543</v>
      </c>
      <c r="I398" s="22">
        <f t="shared" si="927"/>
        <v>30657.983193277312</v>
      </c>
      <c r="J398" s="23">
        <f t="shared" si="928"/>
        <v>18.999999999999993</v>
      </c>
      <c r="K398" s="169">
        <v>36483</v>
      </c>
      <c r="L398" s="5">
        <f t="shared" si="935"/>
        <v>36483</v>
      </c>
      <c r="M398" s="412"/>
      <c r="N398" s="412"/>
      <c r="O398" s="412"/>
      <c r="P398" s="86">
        <f t="shared" si="923"/>
        <v>36483</v>
      </c>
      <c r="Q398" s="414"/>
      <c r="R398" s="412"/>
      <c r="S398" s="416"/>
      <c r="T398" s="418"/>
      <c r="U398" s="408">
        <f t="shared" si="907"/>
        <v>0</v>
      </c>
      <c r="V398" s="425"/>
    </row>
    <row r="399" spans="1:22" ht="45" customHeight="1" x14ac:dyDescent="0.3">
      <c r="A399" s="389">
        <v>193</v>
      </c>
      <c r="B399" s="409">
        <v>11151604</v>
      </c>
      <c r="C399" s="453" t="s">
        <v>544</v>
      </c>
      <c r="D399" s="453" t="s">
        <v>538</v>
      </c>
      <c r="E399" s="432" t="s">
        <v>42</v>
      </c>
      <c r="F399" s="434" t="s">
        <v>539</v>
      </c>
      <c r="G399" s="151">
        <v>1</v>
      </c>
      <c r="H399" s="24" t="s">
        <v>545</v>
      </c>
      <c r="I399" s="22">
        <f t="shared" si="927"/>
        <v>1428.5714285714287</v>
      </c>
      <c r="J399" s="23">
        <f t="shared" si="928"/>
        <v>18.999999999999993</v>
      </c>
      <c r="K399" s="169">
        <v>1700</v>
      </c>
      <c r="L399" s="5">
        <f t="shared" si="935"/>
        <v>1700</v>
      </c>
      <c r="M399" s="411">
        <f t="shared" ref="M399" si="954">IFERROR(AVERAGE(L399:L400),"")</f>
        <v>2850</v>
      </c>
      <c r="N399" s="411">
        <f t="shared" ref="N399" si="955">IFERROR(HARMEAN(L399:L400),"")</f>
        <v>2385.9649122807018</v>
      </c>
      <c r="O399" s="411">
        <f t="shared" ref="O399" si="956">IFERROR(MEDIAN(L399:L400),"")</f>
        <v>2850</v>
      </c>
      <c r="P399" s="86">
        <f t="shared" si="923"/>
        <v>1700</v>
      </c>
      <c r="Q399" s="413">
        <f t="shared" ref="Q399" si="957">IFERROR(SUM(P399:P400)/COUNTA(K399:K400),"")</f>
        <v>2850</v>
      </c>
      <c r="R399" s="411">
        <f t="shared" ref="R399" si="958">IFERROR(_xlfn.STDEV.S(L399:L400),"")</f>
        <v>1626.3455967290593</v>
      </c>
      <c r="S399" s="415">
        <f t="shared" ref="S399" si="959">IFERROR(R399/M399,"")</f>
        <v>0.5706475777996699</v>
      </c>
      <c r="T399" s="417" t="s">
        <v>2005</v>
      </c>
      <c r="U399" s="407">
        <f t="shared" si="907"/>
        <v>2850</v>
      </c>
      <c r="V399" s="424"/>
    </row>
    <row r="400" spans="1:22" ht="45" customHeight="1" x14ac:dyDescent="0.3">
      <c r="A400" s="390"/>
      <c r="B400" s="266"/>
      <c r="C400" s="454"/>
      <c r="D400" s="454"/>
      <c r="E400" s="433"/>
      <c r="F400" s="435"/>
      <c r="G400" s="151">
        <v>1</v>
      </c>
      <c r="H400" s="53" t="s">
        <v>477</v>
      </c>
      <c r="I400" s="22">
        <f t="shared" si="927"/>
        <v>3361.3445378151264</v>
      </c>
      <c r="J400" s="23">
        <f t="shared" si="928"/>
        <v>18.999999999999989</v>
      </c>
      <c r="K400" s="169">
        <v>4000</v>
      </c>
      <c r="L400" s="5">
        <f t="shared" si="935"/>
        <v>4000</v>
      </c>
      <c r="M400" s="412"/>
      <c r="N400" s="412"/>
      <c r="O400" s="412"/>
      <c r="P400" s="86">
        <f t="shared" si="923"/>
        <v>4000</v>
      </c>
      <c r="Q400" s="414"/>
      <c r="R400" s="412"/>
      <c r="S400" s="416"/>
      <c r="T400" s="418"/>
      <c r="U400" s="408">
        <f t="shared" si="907"/>
        <v>0</v>
      </c>
      <c r="V400" s="425"/>
    </row>
    <row r="401" spans="1:22" ht="45" customHeight="1" x14ac:dyDescent="0.3">
      <c r="A401" s="389">
        <v>194</v>
      </c>
      <c r="B401" s="484" t="s">
        <v>546</v>
      </c>
      <c r="C401" s="453" t="s">
        <v>2051</v>
      </c>
      <c r="D401" s="460" t="s">
        <v>547</v>
      </c>
      <c r="E401" s="432" t="s">
        <v>42</v>
      </c>
      <c r="F401" s="434" t="s">
        <v>539</v>
      </c>
      <c r="G401" s="151">
        <v>1</v>
      </c>
      <c r="H401" s="24" t="s">
        <v>2052</v>
      </c>
      <c r="I401" s="22">
        <f t="shared" si="927"/>
        <v>14579.83193277311</v>
      </c>
      <c r="J401" s="23">
        <f t="shared" si="928"/>
        <v>18.999999999999996</v>
      </c>
      <c r="K401" s="169">
        <v>17350</v>
      </c>
      <c r="L401" s="5">
        <f t="shared" si="935"/>
        <v>17350</v>
      </c>
      <c r="M401" s="411">
        <f t="shared" ref="M401" si="960">IFERROR(AVERAGE(L401:L402),"")</f>
        <v>18925</v>
      </c>
      <c r="N401" s="411">
        <f t="shared" ref="N401" si="961">IFERROR(HARMEAN(L401:L402),"")</f>
        <v>18793.923381770146</v>
      </c>
      <c r="O401" s="411">
        <f t="shared" ref="O401" si="962">IFERROR(MEDIAN(L401:L402),"")</f>
        <v>18925</v>
      </c>
      <c r="P401" s="86">
        <f t="shared" si="923"/>
        <v>17350</v>
      </c>
      <c r="Q401" s="413">
        <f t="shared" ref="Q401" si="963">IFERROR(SUM(P401:P402)/COUNTA(K401:K402),"")</f>
        <v>18925</v>
      </c>
      <c r="R401" s="411">
        <f t="shared" ref="R401" si="964">IFERROR(_xlfn.STDEV.S(L401:L402),"")</f>
        <v>2227.3863607376247</v>
      </c>
      <c r="S401" s="415">
        <f t="shared" ref="S401" si="965">IFERROR(R401/M401,"")</f>
        <v>0.11769544838772125</v>
      </c>
      <c r="T401" s="417" t="s">
        <v>2005</v>
      </c>
      <c r="U401" s="407">
        <f t="shared" si="907"/>
        <v>18925</v>
      </c>
      <c r="V401" s="424" t="e" vm="143">
        <v>#VALUE!</v>
      </c>
    </row>
    <row r="402" spans="1:22" ht="45" customHeight="1" x14ac:dyDescent="0.3">
      <c r="A402" s="390"/>
      <c r="B402" s="266"/>
      <c r="C402" s="454"/>
      <c r="D402" s="454"/>
      <c r="E402" s="433"/>
      <c r="F402" s="435"/>
      <c r="G402" s="151">
        <v>1</v>
      </c>
      <c r="H402" s="53" t="s">
        <v>2053</v>
      </c>
      <c r="I402" s="22">
        <f t="shared" si="927"/>
        <v>17226.89075630252</v>
      </c>
      <c r="J402" s="23">
        <f t="shared" si="928"/>
        <v>19.000000000000004</v>
      </c>
      <c r="K402" s="169">
        <v>20500</v>
      </c>
      <c r="L402" s="5">
        <f t="shared" si="935"/>
        <v>20500</v>
      </c>
      <c r="M402" s="412"/>
      <c r="N402" s="412"/>
      <c r="O402" s="412"/>
      <c r="P402" s="86">
        <f t="shared" si="923"/>
        <v>20500</v>
      </c>
      <c r="Q402" s="414"/>
      <c r="R402" s="412"/>
      <c r="S402" s="416"/>
      <c r="T402" s="418"/>
      <c r="U402" s="408">
        <f t="shared" si="907"/>
        <v>0</v>
      </c>
      <c r="V402" s="425"/>
    </row>
    <row r="403" spans="1:22" ht="45" customHeight="1" x14ac:dyDescent="0.3">
      <c r="A403" s="389">
        <v>195</v>
      </c>
      <c r="B403" s="484" t="s">
        <v>548</v>
      </c>
      <c r="C403" s="453" t="s">
        <v>549</v>
      </c>
      <c r="D403" s="453" t="s">
        <v>2054</v>
      </c>
      <c r="E403" s="432" t="s">
        <v>497</v>
      </c>
      <c r="F403" s="434" t="s">
        <v>476</v>
      </c>
      <c r="G403" s="151">
        <v>1</v>
      </c>
      <c r="H403" s="24" t="s">
        <v>550</v>
      </c>
      <c r="I403" s="22">
        <f t="shared" si="927"/>
        <v>34831.932773109242</v>
      </c>
      <c r="J403" s="23">
        <f t="shared" si="928"/>
        <v>19.000000000000007</v>
      </c>
      <c r="K403" s="169">
        <v>41450</v>
      </c>
      <c r="L403" s="5">
        <f t="shared" si="935"/>
        <v>41450</v>
      </c>
      <c r="M403" s="411">
        <f t="shared" ref="M403" si="966">IFERROR(AVERAGE(L403:L404),"")</f>
        <v>41975</v>
      </c>
      <c r="N403" s="411">
        <f t="shared" ref="N403" si="967">IFERROR(HARMEAN(L403:L404),"")</f>
        <v>41968.433591423469</v>
      </c>
      <c r="O403" s="411">
        <f t="shared" ref="O403" si="968">IFERROR(MEDIAN(L403:L404),"")</f>
        <v>41975</v>
      </c>
      <c r="P403" s="86">
        <f t="shared" si="923"/>
        <v>41450</v>
      </c>
      <c r="Q403" s="413">
        <f t="shared" ref="Q403" si="969">IFERROR(SUM(P403:P404)/COUNTA(K403:K404),"")</f>
        <v>41975</v>
      </c>
      <c r="R403" s="411">
        <f t="shared" ref="R403" si="970">IFERROR(_xlfn.STDEV.S(L403:L404),"")</f>
        <v>742.46212024587487</v>
      </c>
      <c r="S403" s="415">
        <f t="shared" ref="S403" si="971">IFERROR(R403/M403,"")</f>
        <v>1.7688198219079805E-2</v>
      </c>
      <c r="T403" s="417" t="s">
        <v>2005</v>
      </c>
      <c r="U403" s="407">
        <f t="shared" si="907"/>
        <v>41975</v>
      </c>
      <c r="V403" s="424" t="e" vm="144">
        <v>#VALUE!</v>
      </c>
    </row>
    <row r="404" spans="1:22" ht="45" customHeight="1" x14ac:dyDescent="0.3">
      <c r="A404" s="390"/>
      <c r="B404" s="266"/>
      <c r="C404" s="454"/>
      <c r="D404" s="454"/>
      <c r="E404" s="433"/>
      <c r="F404" s="435"/>
      <c r="G404" s="151">
        <v>1</v>
      </c>
      <c r="H404" s="53" t="s">
        <v>551</v>
      </c>
      <c r="I404" s="22">
        <f t="shared" si="927"/>
        <v>35714.285714285717</v>
      </c>
      <c r="J404" s="23">
        <f t="shared" si="928"/>
        <v>18.999999999999989</v>
      </c>
      <c r="K404" s="169">
        <v>42500</v>
      </c>
      <c r="L404" s="5">
        <f t="shared" si="935"/>
        <v>42500</v>
      </c>
      <c r="M404" s="412"/>
      <c r="N404" s="412"/>
      <c r="O404" s="412"/>
      <c r="P404" s="86">
        <f t="shared" si="923"/>
        <v>42500</v>
      </c>
      <c r="Q404" s="414"/>
      <c r="R404" s="412"/>
      <c r="S404" s="416"/>
      <c r="T404" s="418"/>
      <c r="U404" s="408">
        <f t="shared" si="907"/>
        <v>0</v>
      </c>
      <c r="V404" s="425"/>
    </row>
    <row r="405" spans="1:22" ht="45" customHeight="1" x14ac:dyDescent="0.3">
      <c r="A405" s="389">
        <v>196</v>
      </c>
      <c r="B405" s="484">
        <v>13111305</v>
      </c>
      <c r="C405" s="453" t="s">
        <v>552</v>
      </c>
      <c r="D405" s="453" t="s">
        <v>2055</v>
      </c>
      <c r="E405" s="432" t="s">
        <v>530</v>
      </c>
      <c r="F405" s="434" t="s">
        <v>476</v>
      </c>
      <c r="G405" s="151">
        <v>1</v>
      </c>
      <c r="H405" s="24" t="s">
        <v>550</v>
      </c>
      <c r="I405" s="22">
        <f t="shared" si="927"/>
        <v>69663.865546218483</v>
      </c>
      <c r="J405" s="23">
        <f t="shared" si="928"/>
        <v>19.000000000000007</v>
      </c>
      <c r="K405" s="169">
        <v>82900</v>
      </c>
      <c r="L405" s="5">
        <f t="shared" si="935"/>
        <v>82900</v>
      </c>
      <c r="M405" s="411">
        <f t="shared" ref="M405" si="972">IFERROR(AVERAGE(L405:L406),"")</f>
        <v>73200</v>
      </c>
      <c r="N405" s="411">
        <f t="shared" ref="N405" si="973">IFERROR(HARMEAN(L405:L406),"")</f>
        <v>71914.617486338801</v>
      </c>
      <c r="O405" s="411">
        <f t="shared" ref="O405" si="974">IFERROR(MEDIAN(L405:L406),"")</f>
        <v>73200</v>
      </c>
      <c r="P405" s="86">
        <f t="shared" si="923"/>
        <v>82900</v>
      </c>
      <c r="Q405" s="413">
        <f t="shared" ref="Q405" si="975">IFERROR(SUM(P405:P406)/COUNTA(K405:K406),"")</f>
        <v>73200</v>
      </c>
      <c r="R405" s="411">
        <f t="shared" ref="R405" si="976">IFERROR(_xlfn.STDEV.S(L405:L406),"")</f>
        <v>13717.871555019023</v>
      </c>
      <c r="S405" s="415">
        <f t="shared" ref="S405" si="977">IFERROR(R405/M405,"")</f>
        <v>0.18740261687184456</v>
      </c>
      <c r="T405" s="417" t="s">
        <v>2005</v>
      </c>
      <c r="U405" s="407">
        <f t="shared" si="907"/>
        <v>73200</v>
      </c>
      <c r="V405" s="424" t="e" vm="145">
        <v>#VALUE!</v>
      </c>
    </row>
    <row r="406" spans="1:22" ht="45" customHeight="1" x14ac:dyDescent="0.3">
      <c r="A406" s="390"/>
      <c r="B406" s="266"/>
      <c r="C406" s="454"/>
      <c r="D406" s="454"/>
      <c r="E406" s="433"/>
      <c r="F406" s="435"/>
      <c r="G406" s="151">
        <v>1</v>
      </c>
      <c r="H406" s="53" t="s">
        <v>551</v>
      </c>
      <c r="I406" s="22">
        <f t="shared" si="927"/>
        <v>53361.34453781513</v>
      </c>
      <c r="J406" s="23">
        <f t="shared" si="928"/>
        <v>18.999999999999993</v>
      </c>
      <c r="K406" s="169">
        <v>63500</v>
      </c>
      <c r="L406" s="5">
        <f t="shared" si="935"/>
        <v>63500</v>
      </c>
      <c r="M406" s="412"/>
      <c r="N406" s="412"/>
      <c r="O406" s="412"/>
      <c r="P406" s="86">
        <f t="shared" si="923"/>
        <v>63500</v>
      </c>
      <c r="Q406" s="414"/>
      <c r="R406" s="412"/>
      <c r="S406" s="416"/>
      <c r="T406" s="418"/>
      <c r="U406" s="408">
        <f t="shared" si="907"/>
        <v>0</v>
      </c>
      <c r="V406" s="425"/>
    </row>
    <row r="407" spans="1:22" ht="45" customHeight="1" x14ac:dyDescent="0.3">
      <c r="A407" s="488">
        <v>197</v>
      </c>
      <c r="B407" s="409">
        <v>11151607</v>
      </c>
      <c r="C407" s="453" t="s">
        <v>553</v>
      </c>
      <c r="D407" s="453" t="s">
        <v>2056</v>
      </c>
      <c r="E407" s="432" t="s">
        <v>42</v>
      </c>
      <c r="F407" s="434" t="s">
        <v>72</v>
      </c>
      <c r="G407" s="151">
        <v>1</v>
      </c>
      <c r="H407" s="24" t="s">
        <v>554</v>
      </c>
      <c r="I407" s="22">
        <f t="shared" si="927"/>
        <v>12184.873949579833</v>
      </c>
      <c r="J407" s="23">
        <f t="shared" si="928"/>
        <v>18.999999999999993</v>
      </c>
      <c r="K407" s="169">
        <v>14500</v>
      </c>
      <c r="L407" s="5">
        <f t="shared" si="935"/>
        <v>14500</v>
      </c>
      <c r="M407" s="411">
        <f t="shared" ref="M407" si="978">IFERROR(AVERAGE(L407:L410),"")</f>
        <v>18375</v>
      </c>
      <c r="N407" s="411">
        <f t="shared" ref="N407" si="979">IFERROR(HARMEAN(L407:L410),"")</f>
        <v>17742.464781753792</v>
      </c>
      <c r="O407" s="411">
        <f t="shared" ref="O407" si="980">IFERROR(MEDIAN(L407:L410),"")</f>
        <v>18500</v>
      </c>
      <c r="P407" s="86">
        <f t="shared" si="923"/>
        <v>14500</v>
      </c>
      <c r="Q407" s="413">
        <f t="shared" ref="Q407" si="981">IFERROR(SUM(P407:P410)/COUNTA(K407:K410),"")</f>
        <v>18375</v>
      </c>
      <c r="R407" s="411">
        <f t="shared" ref="R407" si="982">IFERROR(_xlfn.STDEV.S(L407:L410),"")</f>
        <v>3923.752455664518</v>
      </c>
      <c r="S407" s="415">
        <f t="shared" ref="S407" si="983">IFERROR(R407/M407,"")</f>
        <v>0.21353754860759283</v>
      </c>
      <c r="T407" s="405" t="s">
        <v>2005</v>
      </c>
      <c r="U407" s="407">
        <f t="shared" si="907"/>
        <v>18375</v>
      </c>
      <c r="V407" s="485" t="e" vm="146">
        <v>#VALUE!</v>
      </c>
    </row>
    <row r="408" spans="1:22" ht="45" customHeight="1" x14ac:dyDescent="0.3">
      <c r="A408" s="489"/>
      <c r="B408" s="266"/>
      <c r="C408" s="454"/>
      <c r="D408" s="454"/>
      <c r="E408" s="433"/>
      <c r="F408" s="435"/>
      <c r="G408" s="151">
        <v>1</v>
      </c>
      <c r="H408" s="24" t="s">
        <v>554</v>
      </c>
      <c r="I408" s="22">
        <f t="shared" si="927"/>
        <v>13025.210084033613</v>
      </c>
      <c r="J408" s="23">
        <f t="shared" si="928"/>
        <v>19</v>
      </c>
      <c r="K408" s="169">
        <v>15500</v>
      </c>
      <c r="L408" s="5">
        <f t="shared" si="935"/>
        <v>15500</v>
      </c>
      <c r="M408" s="412"/>
      <c r="N408" s="412"/>
      <c r="O408" s="412"/>
      <c r="P408" s="86">
        <f t="shared" si="923"/>
        <v>15500</v>
      </c>
      <c r="Q408" s="414"/>
      <c r="R408" s="412"/>
      <c r="S408" s="416"/>
      <c r="T408" s="406"/>
      <c r="U408" s="408"/>
      <c r="V408" s="486"/>
    </row>
    <row r="409" spans="1:22" ht="45" customHeight="1" x14ac:dyDescent="0.3">
      <c r="A409" s="489"/>
      <c r="B409" s="266"/>
      <c r="C409" s="454"/>
      <c r="D409" s="454"/>
      <c r="E409" s="433"/>
      <c r="F409" s="435"/>
      <c r="G409" s="151">
        <v>1</v>
      </c>
      <c r="H409" s="24" t="s">
        <v>536</v>
      </c>
      <c r="I409" s="22">
        <f t="shared" si="927"/>
        <v>18067.226890756305</v>
      </c>
      <c r="J409" s="23">
        <f t="shared" si="928"/>
        <v>18.999999999999986</v>
      </c>
      <c r="K409" s="169">
        <v>21500</v>
      </c>
      <c r="L409" s="5">
        <f t="shared" si="935"/>
        <v>21500</v>
      </c>
      <c r="M409" s="412"/>
      <c r="N409" s="412"/>
      <c r="O409" s="412"/>
      <c r="P409" s="86">
        <f t="shared" si="923"/>
        <v>21500</v>
      </c>
      <c r="Q409" s="414"/>
      <c r="R409" s="412"/>
      <c r="S409" s="416"/>
      <c r="T409" s="406"/>
      <c r="U409" s="408"/>
      <c r="V409" s="486"/>
    </row>
    <row r="410" spans="1:22" ht="45" customHeight="1" x14ac:dyDescent="0.3">
      <c r="A410" s="490"/>
      <c r="B410" s="410"/>
      <c r="C410" s="466"/>
      <c r="D410" s="466"/>
      <c r="E410" s="445"/>
      <c r="F410" s="446"/>
      <c r="G410" s="151">
        <v>1</v>
      </c>
      <c r="H410" s="53" t="s">
        <v>536</v>
      </c>
      <c r="I410" s="22">
        <f t="shared" si="927"/>
        <v>18487.394957983193</v>
      </c>
      <c r="J410" s="23">
        <f t="shared" si="928"/>
        <v>19</v>
      </c>
      <c r="K410" s="169">
        <v>22000</v>
      </c>
      <c r="L410" s="5">
        <f t="shared" si="935"/>
        <v>22000</v>
      </c>
      <c r="M410" s="412"/>
      <c r="N410" s="412"/>
      <c r="O410" s="412"/>
      <c r="P410" s="86">
        <f t="shared" si="923"/>
        <v>22000</v>
      </c>
      <c r="Q410" s="414"/>
      <c r="R410" s="412"/>
      <c r="S410" s="416"/>
      <c r="T410" s="406"/>
      <c r="U410" s="408">
        <f t="shared" si="907"/>
        <v>0</v>
      </c>
      <c r="V410" s="487"/>
    </row>
    <row r="411" spans="1:22" ht="45" customHeight="1" x14ac:dyDescent="0.3">
      <c r="A411" s="389">
        <v>198</v>
      </c>
      <c r="B411" s="409">
        <v>60121142</v>
      </c>
      <c r="C411" s="453" t="s">
        <v>555</v>
      </c>
      <c r="D411" s="453" t="s">
        <v>556</v>
      </c>
      <c r="E411" s="432" t="s">
        <v>78</v>
      </c>
      <c r="F411" s="434" t="s">
        <v>79</v>
      </c>
      <c r="G411" s="151">
        <v>1</v>
      </c>
      <c r="H411" s="24" t="s">
        <v>557</v>
      </c>
      <c r="I411" s="22">
        <f t="shared" si="927"/>
        <v>8700</v>
      </c>
      <c r="J411" s="23">
        <f t="shared" si="928"/>
        <v>19</v>
      </c>
      <c r="K411" s="169">
        <v>10353</v>
      </c>
      <c r="L411" s="5">
        <f t="shared" si="935"/>
        <v>10353</v>
      </c>
      <c r="M411" s="411">
        <f t="shared" ref="M411" si="984">IFERROR(AVERAGE(L411:L412),"")</f>
        <v>13447</v>
      </c>
      <c r="N411" s="411">
        <f t="shared" ref="N411" si="985">IFERROR(HARMEAN(L411:L412),"")</f>
        <v>12735.106194690266</v>
      </c>
      <c r="O411" s="411">
        <f t="shared" ref="O411" si="986">IFERROR(MEDIAN(L411:L412),"")</f>
        <v>13447</v>
      </c>
      <c r="P411" s="86">
        <f t="shared" si="923"/>
        <v>10353</v>
      </c>
      <c r="Q411" s="413">
        <f t="shared" ref="Q411" si="987">IFERROR(SUM(P411:P412)/COUNTA(K411:K412),"")</f>
        <v>13447</v>
      </c>
      <c r="R411" s="411">
        <f t="shared" ref="R411" si="988">IFERROR(_xlfn.STDEV.S(L411:L412),"")</f>
        <v>4375.5767619823564</v>
      </c>
      <c r="S411" s="415">
        <f t="shared" ref="S411" si="989">IFERROR(R411/M411,"")</f>
        <v>0.32539427098849977</v>
      </c>
      <c r="T411" s="417" t="s">
        <v>2005</v>
      </c>
      <c r="U411" s="407">
        <f t="shared" si="907"/>
        <v>13447</v>
      </c>
      <c r="V411" s="424"/>
    </row>
    <row r="412" spans="1:22" ht="45" customHeight="1" x14ac:dyDescent="0.3">
      <c r="A412" s="390"/>
      <c r="B412" s="266"/>
      <c r="C412" s="454"/>
      <c r="D412" s="454"/>
      <c r="E412" s="433"/>
      <c r="F412" s="435"/>
      <c r="G412" s="151">
        <v>1</v>
      </c>
      <c r="H412" s="53" t="s">
        <v>454</v>
      </c>
      <c r="I412" s="22">
        <f t="shared" si="927"/>
        <v>13900</v>
      </c>
      <c r="J412" s="23">
        <f t="shared" si="928"/>
        <v>19</v>
      </c>
      <c r="K412" s="169">
        <v>16541</v>
      </c>
      <c r="L412" s="5">
        <f t="shared" si="935"/>
        <v>16541</v>
      </c>
      <c r="M412" s="412"/>
      <c r="N412" s="412"/>
      <c r="O412" s="412"/>
      <c r="P412" s="86">
        <f t="shared" si="923"/>
        <v>16541</v>
      </c>
      <c r="Q412" s="414"/>
      <c r="R412" s="412"/>
      <c r="S412" s="416"/>
      <c r="T412" s="418"/>
      <c r="U412" s="408">
        <f t="shared" si="907"/>
        <v>0</v>
      </c>
      <c r="V412" s="425"/>
    </row>
    <row r="413" spans="1:22" ht="45" customHeight="1" x14ac:dyDescent="0.3">
      <c r="A413" s="389">
        <v>199</v>
      </c>
      <c r="B413" s="484" t="s">
        <v>558</v>
      </c>
      <c r="C413" s="453" t="s">
        <v>559</v>
      </c>
      <c r="D413" s="453" t="s">
        <v>2057</v>
      </c>
      <c r="E413" s="432" t="s">
        <v>560</v>
      </c>
      <c r="F413" s="434" t="s">
        <v>72</v>
      </c>
      <c r="G413" s="151">
        <v>1</v>
      </c>
      <c r="H413" s="24" t="s">
        <v>561</v>
      </c>
      <c r="I413" s="22">
        <f t="shared" si="927"/>
        <v>21840.336134453781</v>
      </c>
      <c r="J413" s="23">
        <f t="shared" si="928"/>
        <v>19.000000000000007</v>
      </c>
      <c r="K413" s="169">
        <v>25990</v>
      </c>
      <c r="L413" s="5">
        <f t="shared" si="935"/>
        <v>25990</v>
      </c>
      <c r="M413" s="411">
        <f t="shared" ref="M413" si="990">IFERROR(AVERAGE(L413:L414),"")</f>
        <v>31576</v>
      </c>
      <c r="N413" s="411">
        <f t="shared" ref="N413" si="991">IFERROR(HARMEAN(L413:L414),"")</f>
        <v>30587.800228021282</v>
      </c>
      <c r="O413" s="411">
        <f t="shared" ref="O413" si="992">IFERROR(MEDIAN(L413:L414),"")</f>
        <v>31576</v>
      </c>
      <c r="P413" s="86">
        <f t="shared" si="923"/>
        <v>25990</v>
      </c>
      <c r="Q413" s="413">
        <f t="shared" ref="Q413" si="993">IFERROR(SUM(P413:P414)/COUNTA(K413:K414),"")</f>
        <v>31576</v>
      </c>
      <c r="R413" s="411">
        <f t="shared" ref="R413" si="994">IFERROR(_xlfn.STDEV.S(L413:L414),"")</f>
        <v>7899.7969594161086</v>
      </c>
      <c r="S413" s="415">
        <f t="shared" ref="S413" si="995">IFERROR(R413/M413,"")</f>
        <v>0.25018358751634495</v>
      </c>
      <c r="T413" s="417" t="s">
        <v>2005</v>
      </c>
      <c r="U413" s="407">
        <f t="shared" si="907"/>
        <v>31576</v>
      </c>
      <c r="V413" s="424" t="e" vm="147">
        <v>#VALUE!</v>
      </c>
    </row>
    <row r="414" spans="1:22" ht="45" customHeight="1" x14ac:dyDescent="0.3">
      <c r="A414" s="390"/>
      <c r="B414" s="266"/>
      <c r="C414" s="454"/>
      <c r="D414" s="454"/>
      <c r="E414" s="433"/>
      <c r="F414" s="435"/>
      <c r="G414" s="151">
        <v>1</v>
      </c>
      <c r="H414" s="53" t="s">
        <v>520</v>
      </c>
      <c r="I414" s="22">
        <f t="shared" si="927"/>
        <v>31228.571428571431</v>
      </c>
      <c r="J414" s="23">
        <f t="shared" si="928"/>
        <v>18.999999999999989</v>
      </c>
      <c r="K414" s="169">
        <v>37162</v>
      </c>
      <c r="L414" s="5">
        <f t="shared" si="935"/>
        <v>37162</v>
      </c>
      <c r="M414" s="412"/>
      <c r="N414" s="412"/>
      <c r="O414" s="412"/>
      <c r="P414" s="86">
        <f t="shared" si="923"/>
        <v>37162</v>
      </c>
      <c r="Q414" s="414"/>
      <c r="R414" s="412"/>
      <c r="S414" s="416"/>
      <c r="T414" s="418"/>
      <c r="U414" s="408">
        <f t="shared" si="907"/>
        <v>0</v>
      </c>
      <c r="V414" s="425"/>
    </row>
    <row r="415" spans="1:22" ht="45" customHeight="1" x14ac:dyDescent="0.3">
      <c r="A415" s="389">
        <v>200</v>
      </c>
      <c r="B415" s="409">
        <v>27112106</v>
      </c>
      <c r="C415" s="453" t="s">
        <v>562</v>
      </c>
      <c r="D415" s="453" t="s">
        <v>563</v>
      </c>
      <c r="E415" s="432" t="s">
        <v>78</v>
      </c>
      <c r="F415" s="434" t="s">
        <v>79</v>
      </c>
      <c r="G415" s="151">
        <v>1</v>
      </c>
      <c r="H415" s="24" t="s">
        <v>528</v>
      </c>
      <c r="I415" s="22">
        <f t="shared" si="927"/>
        <v>26806.722689075632</v>
      </c>
      <c r="J415" s="23">
        <f t="shared" si="928"/>
        <v>18.999999999999993</v>
      </c>
      <c r="K415" s="169">
        <v>31900</v>
      </c>
      <c r="L415" s="5">
        <f t="shared" si="935"/>
        <v>31900</v>
      </c>
      <c r="M415" s="411">
        <f t="shared" ref="M415" si="996">IFERROR(AVERAGE(L415:L417),"")</f>
        <v>30633.333333333332</v>
      </c>
      <c r="N415" s="411">
        <f t="shared" ref="N415" si="997">IFERROR(HARMEAN(L415:L417),"")</f>
        <v>30515.017793594303</v>
      </c>
      <c r="O415" s="411">
        <f t="shared" ref="O415" si="998">IFERROR(MEDIAN(L415:L417),"")</f>
        <v>31900</v>
      </c>
      <c r="P415" s="86">
        <f t="shared" si="923"/>
        <v>31900</v>
      </c>
      <c r="Q415" s="413">
        <f t="shared" ref="Q415" si="999">IFERROR(SUM(P415:P417)/COUNTA(K415:K417),"")</f>
        <v>30633.333333333332</v>
      </c>
      <c r="R415" s="411">
        <f t="shared" ref="R415" si="1000">IFERROR(_xlfn.STDEV.S(L415:L417),"")</f>
        <v>2281.0816147900832</v>
      </c>
      <c r="S415" s="415">
        <f t="shared" ref="S415" si="1001">IFERROR(R415/M415,"")</f>
        <v>7.4464035303267131E-2</v>
      </c>
      <c r="T415" s="405" t="s">
        <v>2005</v>
      </c>
      <c r="U415" s="407">
        <f t="shared" si="907"/>
        <v>30633.333333333332</v>
      </c>
      <c r="V415" s="424" t="e" vm="148">
        <v>#VALUE!</v>
      </c>
    </row>
    <row r="416" spans="1:22" ht="45" customHeight="1" x14ac:dyDescent="0.3">
      <c r="A416" s="390"/>
      <c r="B416" s="266"/>
      <c r="C416" s="454"/>
      <c r="D416" s="454"/>
      <c r="E416" s="433"/>
      <c r="F416" s="435"/>
      <c r="G416" s="151">
        <v>1</v>
      </c>
      <c r="H416" s="24" t="s">
        <v>410</v>
      </c>
      <c r="I416" s="22">
        <f t="shared" si="927"/>
        <v>26890.756302521011</v>
      </c>
      <c r="J416" s="23">
        <f t="shared" si="928"/>
        <v>18.999999999999989</v>
      </c>
      <c r="K416" s="169">
        <v>32000</v>
      </c>
      <c r="L416" s="5">
        <f t="shared" si="935"/>
        <v>32000</v>
      </c>
      <c r="M416" s="412"/>
      <c r="N416" s="412"/>
      <c r="O416" s="412"/>
      <c r="P416" s="86">
        <f t="shared" si="923"/>
        <v>32000</v>
      </c>
      <c r="Q416" s="414"/>
      <c r="R416" s="412"/>
      <c r="S416" s="416"/>
      <c r="T416" s="406"/>
      <c r="U416" s="408"/>
      <c r="V416" s="425"/>
    </row>
    <row r="417" spans="1:22" ht="45" customHeight="1" x14ac:dyDescent="0.3">
      <c r="A417" s="390"/>
      <c r="B417" s="266"/>
      <c r="C417" s="454"/>
      <c r="D417" s="454"/>
      <c r="E417" s="433"/>
      <c r="F417" s="435"/>
      <c r="G417" s="151">
        <v>1</v>
      </c>
      <c r="H417" s="53" t="s">
        <v>564</v>
      </c>
      <c r="I417" s="22">
        <f t="shared" si="927"/>
        <v>23529.411764705885</v>
      </c>
      <c r="J417" s="23">
        <f t="shared" si="928"/>
        <v>18.999999999999989</v>
      </c>
      <c r="K417" s="169">
        <v>28000</v>
      </c>
      <c r="L417" s="5">
        <f t="shared" si="935"/>
        <v>28000</v>
      </c>
      <c r="M417" s="412"/>
      <c r="N417" s="412"/>
      <c r="O417" s="412"/>
      <c r="P417" s="86">
        <f t="shared" si="923"/>
        <v>28000</v>
      </c>
      <c r="Q417" s="414"/>
      <c r="R417" s="412"/>
      <c r="S417" s="416"/>
      <c r="T417" s="406"/>
      <c r="U417" s="408">
        <f t="shared" si="907"/>
        <v>0</v>
      </c>
      <c r="V417" s="425"/>
    </row>
    <row r="418" spans="1:22" ht="45" customHeight="1" x14ac:dyDescent="0.3">
      <c r="A418" s="389">
        <v>201</v>
      </c>
      <c r="B418" s="409">
        <v>27112106</v>
      </c>
      <c r="C418" s="453" t="s">
        <v>565</v>
      </c>
      <c r="D418" s="453" t="s">
        <v>566</v>
      </c>
      <c r="E418" s="432" t="s">
        <v>78</v>
      </c>
      <c r="F418" s="434" t="s">
        <v>79</v>
      </c>
      <c r="G418" s="151">
        <v>1</v>
      </c>
      <c r="H418" s="24" t="s">
        <v>567</v>
      </c>
      <c r="I418" s="22">
        <f t="shared" si="927"/>
        <v>7142.8571428571431</v>
      </c>
      <c r="J418" s="23">
        <f t="shared" si="928"/>
        <v>18.999999999999993</v>
      </c>
      <c r="K418" s="169">
        <v>8500</v>
      </c>
      <c r="L418" s="5">
        <f t="shared" si="935"/>
        <v>8500</v>
      </c>
      <c r="M418" s="411">
        <f t="shared" ref="M418" si="1002">IFERROR(AVERAGE(L418:L420),"")</f>
        <v>10933.333333333334</v>
      </c>
      <c r="N418" s="411">
        <f t="shared" ref="N418" si="1003">IFERROR(HARMEAN(L418:L420),"")</f>
        <v>10610.883392226149</v>
      </c>
      <c r="O418" s="411">
        <f t="shared" ref="O418" si="1004">IFERROR(MEDIAN(L418:L420),"")</f>
        <v>11500</v>
      </c>
      <c r="P418" s="86">
        <f t="shared" si="923"/>
        <v>8500</v>
      </c>
      <c r="Q418" s="413">
        <f t="shared" ref="Q418" si="1005">IFERROR(SUM(P418:P420)/COUNTA(K418:K420),"")</f>
        <v>10933.333333333334</v>
      </c>
      <c r="R418" s="411">
        <f t="shared" ref="R418" si="1006">IFERROR(_xlfn.STDEV.S(L418:L420),"")</f>
        <v>2205.2966542697477</v>
      </c>
      <c r="S418" s="415">
        <f t="shared" ref="S418" si="1007">IFERROR(R418/M418,"")</f>
        <v>0.20170396228076959</v>
      </c>
      <c r="T418" s="405" t="s">
        <v>2005</v>
      </c>
      <c r="U418" s="407">
        <f t="shared" si="907"/>
        <v>10933.333333333334</v>
      </c>
      <c r="V418" s="424" t="e" vm="149">
        <v>#VALUE!</v>
      </c>
    </row>
    <row r="419" spans="1:22" ht="45" customHeight="1" x14ac:dyDescent="0.3">
      <c r="A419" s="390"/>
      <c r="B419" s="266"/>
      <c r="C419" s="454"/>
      <c r="D419" s="454"/>
      <c r="E419" s="433"/>
      <c r="F419" s="435"/>
      <c r="G419" s="151">
        <v>1</v>
      </c>
      <c r="H419" s="24" t="s">
        <v>414</v>
      </c>
      <c r="I419" s="22">
        <f t="shared" si="927"/>
        <v>9663.865546218487</v>
      </c>
      <c r="J419" s="23">
        <f t="shared" si="928"/>
        <v>19.000000000000007</v>
      </c>
      <c r="K419" s="169">
        <v>11500</v>
      </c>
      <c r="L419" s="5">
        <f t="shared" si="935"/>
        <v>11500</v>
      </c>
      <c r="M419" s="412"/>
      <c r="N419" s="412"/>
      <c r="O419" s="412"/>
      <c r="P419" s="86">
        <f t="shared" si="923"/>
        <v>11500</v>
      </c>
      <c r="Q419" s="414"/>
      <c r="R419" s="412"/>
      <c r="S419" s="416"/>
      <c r="T419" s="406"/>
      <c r="U419" s="408"/>
      <c r="V419" s="425"/>
    </row>
    <row r="420" spans="1:22" ht="45" customHeight="1" x14ac:dyDescent="0.3">
      <c r="A420" s="390"/>
      <c r="B420" s="266"/>
      <c r="C420" s="454"/>
      <c r="D420" s="454"/>
      <c r="E420" s="433"/>
      <c r="F420" s="435"/>
      <c r="G420" s="151">
        <v>1</v>
      </c>
      <c r="H420" s="53" t="s">
        <v>461</v>
      </c>
      <c r="I420" s="22">
        <f t="shared" si="927"/>
        <v>10756.302521008403</v>
      </c>
      <c r="J420" s="23">
        <f t="shared" si="928"/>
        <v>19</v>
      </c>
      <c r="K420" s="169">
        <v>12800</v>
      </c>
      <c r="L420" s="5">
        <f t="shared" si="935"/>
        <v>12800</v>
      </c>
      <c r="M420" s="412"/>
      <c r="N420" s="412"/>
      <c r="O420" s="412"/>
      <c r="P420" s="86">
        <f t="shared" si="923"/>
        <v>12800</v>
      </c>
      <c r="Q420" s="414"/>
      <c r="R420" s="412"/>
      <c r="S420" s="416"/>
      <c r="T420" s="406"/>
      <c r="U420" s="408">
        <f t="shared" si="907"/>
        <v>0</v>
      </c>
      <c r="V420" s="425"/>
    </row>
    <row r="421" spans="1:22" ht="45" customHeight="1" x14ac:dyDescent="0.3">
      <c r="A421" s="389">
        <v>202</v>
      </c>
      <c r="B421" s="409">
        <v>27111602</v>
      </c>
      <c r="C421" s="453" t="s">
        <v>568</v>
      </c>
      <c r="D421" s="453" t="s">
        <v>569</v>
      </c>
      <c r="E421" s="432" t="s">
        <v>78</v>
      </c>
      <c r="F421" s="434" t="s">
        <v>570</v>
      </c>
      <c r="G421" s="151">
        <v>1</v>
      </c>
      <c r="H421" s="24" t="s">
        <v>567</v>
      </c>
      <c r="I421" s="22">
        <f t="shared" si="927"/>
        <v>8067.226890756303</v>
      </c>
      <c r="J421" s="23">
        <f t="shared" si="928"/>
        <v>18.999999999999993</v>
      </c>
      <c r="K421" s="169">
        <v>9600</v>
      </c>
      <c r="L421" s="5">
        <f t="shared" si="935"/>
        <v>9600</v>
      </c>
      <c r="M421" s="411">
        <f t="shared" ref="M421" si="1008">IFERROR(AVERAGE(L421:L423),"")</f>
        <v>11800</v>
      </c>
      <c r="N421" s="411">
        <f t="shared" ref="N421" si="1009">IFERROR(HARMEAN(L421:L423),"")</f>
        <v>11523.348188335593</v>
      </c>
      <c r="O421" s="411">
        <f t="shared" ref="O421" si="1010">IFERROR(MEDIAN(L421:L423),"")</f>
        <v>11800</v>
      </c>
      <c r="P421" s="86">
        <f t="shared" si="923"/>
        <v>9600</v>
      </c>
      <c r="Q421" s="413">
        <f t="shared" ref="Q421" si="1011">IFERROR(SUM(P421:P423)/COUNTA(K421:K423),"")</f>
        <v>11800</v>
      </c>
      <c r="R421" s="411">
        <f t="shared" ref="R421" si="1012">IFERROR(_xlfn.STDEV.S(L421:L423),"")</f>
        <v>2200</v>
      </c>
      <c r="S421" s="415">
        <f t="shared" ref="S421" si="1013">IFERROR(R421/M421,"")</f>
        <v>0.1864406779661017</v>
      </c>
      <c r="T421" s="405" t="s">
        <v>2005</v>
      </c>
      <c r="U421" s="407">
        <f t="shared" si="907"/>
        <v>11800</v>
      </c>
      <c r="V421" s="424" t="e" vm="150">
        <v>#VALUE!</v>
      </c>
    </row>
    <row r="422" spans="1:22" ht="45" customHeight="1" x14ac:dyDescent="0.3">
      <c r="A422" s="390"/>
      <c r="B422" s="266"/>
      <c r="C422" s="454"/>
      <c r="D422" s="454"/>
      <c r="E422" s="433"/>
      <c r="F422" s="435"/>
      <c r="G422" s="151">
        <v>1</v>
      </c>
      <c r="H422" s="24" t="s">
        <v>414</v>
      </c>
      <c r="I422" s="22">
        <f t="shared" si="927"/>
        <v>9915.9663865546227</v>
      </c>
      <c r="J422" s="23">
        <f t="shared" si="928"/>
        <v>18.999999999999989</v>
      </c>
      <c r="K422" s="169">
        <v>11800</v>
      </c>
      <c r="L422" s="5">
        <f t="shared" si="935"/>
        <v>11800</v>
      </c>
      <c r="M422" s="412"/>
      <c r="N422" s="412"/>
      <c r="O422" s="412"/>
      <c r="P422" s="86">
        <f t="shared" si="923"/>
        <v>11800</v>
      </c>
      <c r="Q422" s="414"/>
      <c r="R422" s="412"/>
      <c r="S422" s="416"/>
      <c r="T422" s="406"/>
      <c r="U422" s="408"/>
      <c r="V422" s="425"/>
    </row>
    <row r="423" spans="1:22" ht="45" customHeight="1" x14ac:dyDescent="0.3">
      <c r="A423" s="390"/>
      <c r="B423" s="266"/>
      <c r="C423" s="454"/>
      <c r="D423" s="454"/>
      <c r="E423" s="433"/>
      <c r="F423" s="435"/>
      <c r="G423" s="151">
        <v>1</v>
      </c>
      <c r="H423" s="53" t="s">
        <v>461</v>
      </c>
      <c r="I423" s="22">
        <f t="shared" si="927"/>
        <v>11764.705882352942</v>
      </c>
      <c r="J423" s="23">
        <f t="shared" si="928"/>
        <v>18.999999999999989</v>
      </c>
      <c r="K423" s="169">
        <v>14000</v>
      </c>
      <c r="L423" s="5">
        <f t="shared" si="935"/>
        <v>14000</v>
      </c>
      <c r="M423" s="412"/>
      <c r="N423" s="412"/>
      <c r="O423" s="412"/>
      <c r="P423" s="86">
        <f t="shared" si="923"/>
        <v>14000</v>
      </c>
      <c r="Q423" s="414"/>
      <c r="R423" s="412"/>
      <c r="S423" s="416"/>
      <c r="T423" s="406"/>
      <c r="U423" s="408">
        <f t="shared" si="907"/>
        <v>0</v>
      </c>
      <c r="V423" s="425"/>
    </row>
    <row r="424" spans="1:22" ht="45" customHeight="1" x14ac:dyDescent="0.3">
      <c r="A424" s="389">
        <v>203</v>
      </c>
      <c r="B424" s="409">
        <v>27111602</v>
      </c>
      <c r="C424" s="453" t="s">
        <v>571</v>
      </c>
      <c r="D424" s="453" t="s">
        <v>572</v>
      </c>
      <c r="E424" s="432" t="s">
        <v>78</v>
      </c>
      <c r="F424" s="434" t="s">
        <v>570</v>
      </c>
      <c r="G424" s="151">
        <v>1</v>
      </c>
      <c r="H424" s="24" t="s">
        <v>567</v>
      </c>
      <c r="I424" s="22">
        <f t="shared" si="927"/>
        <v>14117.64705882353</v>
      </c>
      <c r="J424" s="23">
        <f t="shared" si="928"/>
        <v>18.999999999999996</v>
      </c>
      <c r="K424" s="169">
        <v>16800</v>
      </c>
      <c r="L424" s="5">
        <f t="shared" si="935"/>
        <v>16800</v>
      </c>
      <c r="M424" s="411">
        <f t="shared" ref="M424" si="1014">IFERROR(AVERAGE(L424:L426),"")</f>
        <v>21333.333333333332</v>
      </c>
      <c r="N424" s="411">
        <f t="shared" ref="N424" si="1015">IFERROR(HARMEAN(L424:L426),"")</f>
        <v>18215.693853884808</v>
      </c>
      <c r="O424" s="411">
        <f t="shared" ref="O424" si="1016">IFERROR(MEDIAN(L424:L426),"")</f>
        <v>16800</v>
      </c>
      <c r="P424" s="86">
        <f t="shared" si="923"/>
        <v>16800</v>
      </c>
      <c r="Q424" s="413">
        <f t="shared" ref="Q424" si="1017">IFERROR(SUM(P424:P426)/COUNTA(K424:K426),"")</f>
        <v>21333.333333333332</v>
      </c>
      <c r="R424" s="411">
        <f t="shared" ref="R424" si="1018">IFERROR(_xlfn.STDEV.S(L424:L426),"")</f>
        <v>11116.354318450512</v>
      </c>
      <c r="S424" s="415">
        <f t="shared" ref="S424" si="1019">IFERROR(R424/M424,"")</f>
        <v>0.52107910867736784</v>
      </c>
      <c r="T424" s="405" t="s">
        <v>2005</v>
      </c>
      <c r="U424" s="407">
        <f t="shared" si="907"/>
        <v>21333.333333333332</v>
      </c>
      <c r="V424" s="424" t="e" vm="151">
        <v>#VALUE!</v>
      </c>
    </row>
    <row r="425" spans="1:22" ht="45" customHeight="1" x14ac:dyDescent="0.3">
      <c r="A425" s="390"/>
      <c r="B425" s="266"/>
      <c r="C425" s="454"/>
      <c r="D425" s="454"/>
      <c r="E425" s="433"/>
      <c r="F425" s="435"/>
      <c r="G425" s="151">
        <v>1</v>
      </c>
      <c r="H425" s="24" t="s">
        <v>414</v>
      </c>
      <c r="I425" s="22">
        <f t="shared" si="927"/>
        <v>11092.436974789916</v>
      </c>
      <c r="J425" s="23">
        <f t="shared" si="928"/>
        <v>18.999999999999993</v>
      </c>
      <c r="K425" s="169">
        <v>13200</v>
      </c>
      <c r="L425" s="5">
        <f t="shared" si="935"/>
        <v>13200</v>
      </c>
      <c r="M425" s="412"/>
      <c r="N425" s="412"/>
      <c r="O425" s="412"/>
      <c r="P425" s="86">
        <f t="shared" si="923"/>
        <v>13200</v>
      </c>
      <c r="Q425" s="414"/>
      <c r="R425" s="412"/>
      <c r="S425" s="416"/>
      <c r="T425" s="406"/>
      <c r="U425" s="408"/>
      <c r="V425" s="425"/>
    </row>
    <row r="426" spans="1:22" ht="45" customHeight="1" x14ac:dyDescent="0.3">
      <c r="A426" s="390"/>
      <c r="B426" s="266"/>
      <c r="C426" s="454"/>
      <c r="D426" s="454"/>
      <c r="E426" s="433"/>
      <c r="F426" s="435"/>
      <c r="G426" s="151">
        <v>1</v>
      </c>
      <c r="H426" s="53" t="s">
        <v>461</v>
      </c>
      <c r="I426" s="22">
        <f t="shared" si="927"/>
        <v>28571.428571428572</v>
      </c>
      <c r="J426" s="23">
        <f t="shared" si="928"/>
        <v>18.999999999999993</v>
      </c>
      <c r="K426" s="169">
        <v>34000</v>
      </c>
      <c r="L426" s="5">
        <f t="shared" si="935"/>
        <v>34000</v>
      </c>
      <c r="M426" s="412"/>
      <c r="N426" s="412"/>
      <c r="O426" s="412"/>
      <c r="P426" s="86">
        <f t="shared" si="923"/>
        <v>34000</v>
      </c>
      <c r="Q426" s="414"/>
      <c r="R426" s="412"/>
      <c r="S426" s="416"/>
      <c r="T426" s="406"/>
      <c r="U426" s="408">
        <f t="shared" si="907"/>
        <v>0</v>
      </c>
      <c r="V426" s="425"/>
    </row>
    <row r="427" spans="1:22" ht="45" customHeight="1" x14ac:dyDescent="0.3">
      <c r="A427" s="389">
        <v>204</v>
      </c>
      <c r="B427" s="409">
        <v>27111602</v>
      </c>
      <c r="C427" s="453" t="s">
        <v>573</v>
      </c>
      <c r="D427" s="453" t="s">
        <v>574</v>
      </c>
      <c r="E427" s="432" t="s">
        <v>78</v>
      </c>
      <c r="F427" s="434" t="s">
        <v>79</v>
      </c>
      <c r="G427" s="151">
        <v>1</v>
      </c>
      <c r="H427" s="24" t="s">
        <v>567</v>
      </c>
      <c r="I427" s="22">
        <f t="shared" si="927"/>
        <v>7731.09243697479</v>
      </c>
      <c r="J427" s="23">
        <f t="shared" si="928"/>
        <v>19</v>
      </c>
      <c r="K427" s="169">
        <v>9200</v>
      </c>
      <c r="L427" s="5">
        <f t="shared" si="935"/>
        <v>9200</v>
      </c>
      <c r="M427" s="411">
        <f t="shared" ref="M427" si="1020">IFERROR(AVERAGE(L427:L429),"")</f>
        <v>9266.6666666666661</v>
      </c>
      <c r="N427" s="411">
        <f t="shared" ref="N427" si="1021">IFERROR(HARMEAN(L427:L429),"")</f>
        <v>9260.0186393289823</v>
      </c>
      <c r="O427" s="411">
        <f t="shared" ref="O427" si="1022">IFERROR(MEDIAN(L427:L429),"")</f>
        <v>9200</v>
      </c>
      <c r="P427" s="86">
        <f t="shared" si="923"/>
        <v>9200</v>
      </c>
      <c r="Q427" s="413">
        <f t="shared" ref="Q427" si="1023">IFERROR(SUM(P427:P429)/COUNTA(K427:K429),"")</f>
        <v>9266.6666666666661</v>
      </c>
      <c r="R427" s="411">
        <f t="shared" ref="R427" si="1024">IFERROR(_xlfn.STDEV.S(L427:L429),"")</f>
        <v>305.50504633038935</v>
      </c>
      <c r="S427" s="415">
        <f t="shared" ref="S427" si="1025">IFERROR(R427/M427,"")</f>
        <v>3.2968170467308204E-2</v>
      </c>
      <c r="T427" s="405" t="s">
        <v>2005</v>
      </c>
      <c r="U427" s="407">
        <f t="shared" si="907"/>
        <v>9266.6666666666661</v>
      </c>
      <c r="V427" s="424" t="e" vm="152">
        <v>#VALUE!</v>
      </c>
    </row>
    <row r="428" spans="1:22" ht="45" customHeight="1" x14ac:dyDescent="0.3">
      <c r="A428" s="390"/>
      <c r="B428" s="266"/>
      <c r="C428" s="454"/>
      <c r="D428" s="454"/>
      <c r="E428" s="433"/>
      <c r="F428" s="435"/>
      <c r="G428" s="151">
        <v>1</v>
      </c>
      <c r="H428" s="24" t="s">
        <v>461</v>
      </c>
      <c r="I428" s="22">
        <f t="shared" si="927"/>
        <v>7563.0252100840344</v>
      </c>
      <c r="J428" s="23">
        <f t="shared" si="928"/>
        <v>18.999999999999989</v>
      </c>
      <c r="K428" s="169">
        <v>9000</v>
      </c>
      <c r="L428" s="5">
        <f t="shared" si="935"/>
        <v>9000</v>
      </c>
      <c r="M428" s="412"/>
      <c r="N428" s="412"/>
      <c r="O428" s="412"/>
      <c r="P428" s="86">
        <f t="shared" si="923"/>
        <v>9000</v>
      </c>
      <c r="Q428" s="414"/>
      <c r="R428" s="412"/>
      <c r="S428" s="416"/>
      <c r="T428" s="406"/>
      <c r="U428" s="408"/>
      <c r="V428" s="425"/>
    </row>
    <row r="429" spans="1:22" ht="45" customHeight="1" x14ac:dyDescent="0.3">
      <c r="A429" s="390"/>
      <c r="B429" s="266"/>
      <c r="C429" s="454"/>
      <c r="D429" s="454"/>
      <c r="E429" s="433"/>
      <c r="F429" s="435"/>
      <c r="G429" s="151">
        <v>1</v>
      </c>
      <c r="H429" s="53" t="s">
        <v>414</v>
      </c>
      <c r="I429" s="22">
        <f t="shared" si="927"/>
        <v>8067.226890756303</v>
      </c>
      <c r="J429" s="23">
        <f t="shared" si="928"/>
        <v>18.999999999999993</v>
      </c>
      <c r="K429" s="169">
        <v>9600</v>
      </c>
      <c r="L429" s="5">
        <f t="shared" si="935"/>
        <v>9600</v>
      </c>
      <c r="M429" s="412"/>
      <c r="N429" s="412"/>
      <c r="O429" s="412"/>
      <c r="P429" s="86">
        <f t="shared" si="923"/>
        <v>9600</v>
      </c>
      <c r="Q429" s="414"/>
      <c r="R429" s="412"/>
      <c r="S429" s="416"/>
      <c r="T429" s="406"/>
      <c r="U429" s="408">
        <f t="shared" si="907"/>
        <v>0</v>
      </c>
      <c r="V429" s="425"/>
    </row>
    <row r="430" spans="1:22" ht="45" customHeight="1" x14ac:dyDescent="0.3">
      <c r="A430" s="389">
        <v>205</v>
      </c>
      <c r="B430" s="409">
        <v>27111908</v>
      </c>
      <c r="C430" s="453" t="s">
        <v>575</v>
      </c>
      <c r="D430" s="453" t="s">
        <v>576</v>
      </c>
      <c r="E430" s="432" t="s">
        <v>78</v>
      </c>
      <c r="F430" s="434" t="s">
        <v>79</v>
      </c>
      <c r="G430" s="151">
        <v>1</v>
      </c>
      <c r="H430" s="24" t="s">
        <v>454</v>
      </c>
      <c r="I430" s="22">
        <f t="shared" si="927"/>
        <v>116722.68907563026</v>
      </c>
      <c r="J430" s="23">
        <f t="shared" si="928"/>
        <v>18.999999999999993</v>
      </c>
      <c r="K430" s="169">
        <v>138900</v>
      </c>
      <c r="L430" s="5">
        <f t="shared" si="935"/>
        <v>138900</v>
      </c>
      <c r="M430" s="411">
        <f t="shared" ref="M430" si="1026">IFERROR(AVERAGE(L430:L431),"")</f>
        <v>138750</v>
      </c>
      <c r="N430" s="411">
        <f t="shared" ref="N430" si="1027">IFERROR(HARMEAN(L430:L431),"")</f>
        <v>138749.83783783784</v>
      </c>
      <c r="O430" s="411">
        <f t="shared" ref="O430" si="1028">IFERROR(MEDIAN(L430:L431),"")</f>
        <v>138750</v>
      </c>
      <c r="P430" s="86">
        <f t="shared" si="923"/>
        <v>138900</v>
      </c>
      <c r="Q430" s="413">
        <f t="shared" ref="Q430" si="1029">IFERROR(SUM(P430:P431)/COUNTA(K430:K431),"")</f>
        <v>138750</v>
      </c>
      <c r="R430" s="411">
        <f t="shared" ref="R430" si="1030">IFERROR(_xlfn.STDEV.S(L430:L431),"")</f>
        <v>212.13203435596427</v>
      </c>
      <c r="S430" s="415">
        <f t="shared" ref="S430" si="1031">IFERROR(R430/M430,"")</f>
        <v>1.5288795268898325E-3</v>
      </c>
      <c r="T430" s="417" t="s">
        <v>2005</v>
      </c>
      <c r="U430" s="407">
        <f t="shared" si="907"/>
        <v>138750</v>
      </c>
      <c r="V430" s="424"/>
    </row>
    <row r="431" spans="1:22" ht="45" customHeight="1" x14ac:dyDescent="0.3">
      <c r="A431" s="390"/>
      <c r="B431" s="266"/>
      <c r="C431" s="454"/>
      <c r="D431" s="454"/>
      <c r="E431" s="433"/>
      <c r="F431" s="435"/>
      <c r="G431" s="151">
        <v>1</v>
      </c>
      <c r="H431" s="53" t="s">
        <v>577</v>
      </c>
      <c r="I431" s="22">
        <f t="shared" si="927"/>
        <v>116470.58823529413</v>
      </c>
      <c r="J431" s="23">
        <f t="shared" si="928"/>
        <v>18.999999999999993</v>
      </c>
      <c r="K431" s="169">
        <v>138600</v>
      </c>
      <c r="L431" s="5">
        <f t="shared" si="935"/>
        <v>138600</v>
      </c>
      <c r="M431" s="412"/>
      <c r="N431" s="412"/>
      <c r="O431" s="412"/>
      <c r="P431" s="86">
        <f t="shared" si="923"/>
        <v>138600</v>
      </c>
      <c r="Q431" s="414"/>
      <c r="R431" s="412"/>
      <c r="S431" s="416"/>
      <c r="T431" s="418"/>
      <c r="U431" s="408">
        <f t="shared" si="907"/>
        <v>0</v>
      </c>
      <c r="V431" s="425"/>
    </row>
    <row r="432" spans="1:22" ht="45" customHeight="1" x14ac:dyDescent="0.3">
      <c r="A432" s="389">
        <v>206</v>
      </c>
      <c r="B432" s="484" t="s">
        <v>579</v>
      </c>
      <c r="C432" s="453" t="s">
        <v>580</v>
      </c>
      <c r="D432" s="453" t="s">
        <v>581</v>
      </c>
      <c r="E432" s="432" t="s">
        <v>78</v>
      </c>
      <c r="F432" s="434" t="s">
        <v>79</v>
      </c>
      <c r="G432" s="151">
        <v>1</v>
      </c>
      <c r="H432" s="24" t="s">
        <v>582</v>
      </c>
      <c r="I432" s="22">
        <f t="shared" si="927"/>
        <v>5042.0168067226896</v>
      </c>
      <c r="J432" s="23">
        <f t="shared" si="928"/>
        <v>18.999999999999989</v>
      </c>
      <c r="K432" s="169">
        <v>6000</v>
      </c>
      <c r="L432" s="5">
        <f t="shared" si="935"/>
        <v>6000</v>
      </c>
      <c r="M432" s="411">
        <f t="shared" ref="M432" si="1032">IFERROR(AVERAGE(L432:L434),"")</f>
        <v>5166.666666666667</v>
      </c>
      <c r="N432" s="411">
        <f t="shared" ref="N432" si="1033">IFERROR(HARMEAN(L432:L434),"")</f>
        <v>5035.6330553449579</v>
      </c>
      <c r="O432" s="411">
        <f t="shared" ref="O432" si="1034">IFERROR(MEDIAN(L432:L434),"")</f>
        <v>5400</v>
      </c>
      <c r="P432" s="86">
        <f t="shared" si="923"/>
        <v>6000</v>
      </c>
      <c r="Q432" s="413">
        <f t="shared" ref="Q432" si="1035">IFERROR(SUM(P432:P434)/COUNTA(K432:K434),"")</f>
        <v>5166.666666666667</v>
      </c>
      <c r="R432" s="411">
        <f t="shared" ref="R432" si="1036">IFERROR(_xlfn.STDEV.S(L432:L434),"")</f>
        <v>971.25348562223235</v>
      </c>
      <c r="S432" s="415">
        <f t="shared" ref="S432" si="1037">IFERROR(R432/M432,"")</f>
        <v>0.18798454560430303</v>
      </c>
      <c r="T432" s="405" t="s">
        <v>2005</v>
      </c>
      <c r="U432" s="407">
        <f t="shared" si="907"/>
        <v>5166.666666666667</v>
      </c>
      <c r="V432" s="424" t="e" vm="153">
        <v>#VALUE!</v>
      </c>
    </row>
    <row r="433" spans="1:22" ht="45" customHeight="1" x14ac:dyDescent="0.3">
      <c r="A433" s="390"/>
      <c r="B433" s="266"/>
      <c r="C433" s="454"/>
      <c r="D433" s="454"/>
      <c r="E433" s="433"/>
      <c r="F433" s="435"/>
      <c r="G433" s="151">
        <v>1</v>
      </c>
      <c r="H433" s="24" t="s">
        <v>583</v>
      </c>
      <c r="I433" s="22">
        <f t="shared" si="927"/>
        <v>4537.8151260504201</v>
      </c>
      <c r="J433" s="23">
        <f t="shared" si="928"/>
        <v>19.000000000000004</v>
      </c>
      <c r="K433" s="169">
        <v>5400</v>
      </c>
      <c r="L433" s="5">
        <f t="shared" si="935"/>
        <v>5400</v>
      </c>
      <c r="M433" s="412"/>
      <c r="N433" s="412"/>
      <c r="O433" s="412"/>
      <c r="P433" s="86">
        <f t="shared" si="923"/>
        <v>5400</v>
      </c>
      <c r="Q433" s="414"/>
      <c r="R433" s="412"/>
      <c r="S433" s="416"/>
      <c r="T433" s="406"/>
      <c r="U433" s="408"/>
      <c r="V433" s="425"/>
    </row>
    <row r="434" spans="1:22" ht="45" customHeight="1" x14ac:dyDescent="0.3">
      <c r="A434" s="390"/>
      <c r="B434" s="266"/>
      <c r="C434" s="454"/>
      <c r="D434" s="454"/>
      <c r="E434" s="433"/>
      <c r="F434" s="435"/>
      <c r="G434" s="151">
        <v>1</v>
      </c>
      <c r="H434" s="53" t="s">
        <v>584</v>
      </c>
      <c r="I434" s="22">
        <f t="shared" si="927"/>
        <v>3445.3781512605042</v>
      </c>
      <c r="J434" s="23">
        <f t="shared" si="928"/>
        <v>19</v>
      </c>
      <c r="K434" s="169">
        <v>4100</v>
      </c>
      <c r="L434" s="5">
        <f t="shared" si="935"/>
        <v>4100</v>
      </c>
      <c r="M434" s="412"/>
      <c r="N434" s="412"/>
      <c r="O434" s="412"/>
      <c r="P434" s="86">
        <f t="shared" si="923"/>
        <v>4100</v>
      </c>
      <c r="Q434" s="414"/>
      <c r="R434" s="412"/>
      <c r="S434" s="416"/>
      <c r="T434" s="406"/>
      <c r="U434" s="408">
        <f t="shared" si="907"/>
        <v>0</v>
      </c>
      <c r="V434" s="425"/>
    </row>
    <row r="435" spans="1:22" ht="45" customHeight="1" x14ac:dyDescent="0.3">
      <c r="A435" s="389">
        <v>207</v>
      </c>
      <c r="B435" s="479">
        <v>53111603</v>
      </c>
      <c r="C435" s="453" t="s">
        <v>585</v>
      </c>
      <c r="D435" s="481" t="s">
        <v>2058</v>
      </c>
      <c r="E435" s="432" t="s">
        <v>510</v>
      </c>
      <c r="F435" s="482" t="s">
        <v>510</v>
      </c>
      <c r="G435" s="151">
        <v>1</v>
      </c>
      <c r="H435" s="24" t="s">
        <v>586</v>
      </c>
      <c r="I435" s="22">
        <f t="shared" si="927"/>
        <v>8403.361344537816</v>
      </c>
      <c r="J435" s="23">
        <f t="shared" si="928"/>
        <v>18.999999999999989</v>
      </c>
      <c r="K435" s="169">
        <v>10000</v>
      </c>
      <c r="L435" s="5">
        <f>IF(I435="","",(K435)*G435)</f>
        <v>10000</v>
      </c>
      <c r="M435" s="411">
        <f t="shared" ref="M435" si="1038">IFERROR(AVERAGE(L435:L438),"")</f>
        <v>9125</v>
      </c>
      <c r="N435" s="411">
        <f t="shared" ref="N435" si="1039">IFERROR(HARMEAN(L435:L438),"")</f>
        <v>8398.727465535525</v>
      </c>
      <c r="O435" s="411">
        <f t="shared" ref="O435" si="1040">IFERROR(MEDIAN(L435:L438),"")</f>
        <v>9500</v>
      </c>
      <c r="P435" s="86">
        <f t="shared" si="923"/>
        <v>10000</v>
      </c>
      <c r="Q435" s="413">
        <f t="shared" ref="Q435" si="1041">IFERROR(SUM(P435:P438)/COUNTA(K435:K438),"")</f>
        <v>9125</v>
      </c>
      <c r="R435" s="411">
        <f t="shared" ref="R435" si="1042">IFERROR(_xlfn.STDEV.S(L435:L438),"")</f>
        <v>2719.5281453467865</v>
      </c>
      <c r="S435" s="415">
        <f t="shared" ref="S435" si="1043">IFERROR(R435/M435,"")</f>
        <v>0.2980304816818396</v>
      </c>
      <c r="T435" s="405" t="s">
        <v>2005</v>
      </c>
      <c r="U435" s="407">
        <f t="shared" si="907"/>
        <v>9125</v>
      </c>
      <c r="V435" s="424" t="e" vm="154">
        <v>#VALUE!</v>
      </c>
    </row>
    <row r="436" spans="1:22" ht="45" customHeight="1" x14ac:dyDescent="0.3">
      <c r="A436" s="390"/>
      <c r="B436" s="480"/>
      <c r="C436" s="454"/>
      <c r="D436" s="454"/>
      <c r="E436" s="433"/>
      <c r="F436" s="483"/>
      <c r="G436" s="151">
        <v>1</v>
      </c>
      <c r="H436" s="24" t="s">
        <v>586</v>
      </c>
      <c r="I436" s="22">
        <f t="shared" si="927"/>
        <v>4621.8487394957983</v>
      </c>
      <c r="J436" s="23">
        <f t="shared" si="928"/>
        <v>19</v>
      </c>
      <c r="K436" s="169">
        <v>5500</v>
      </c>
      <c r="L436" s="5">
        <f>IF(I436="","",(K436)*G436)</f>
        <v>5500</v>
      </c>
      <c r="M436" s="412"/>
      <c r="N436" s="412"/>
      <c r="O436" s="412"/>
      <c r="P436" s="86">
        <f t="shared" si="923"/>
        <v>5500</v>
      </c>
      <c r="Q436" s="414"/>
      <c r="R436" s="412"/>
      <c r="S436" s="416"/>
      <c r="T436" s="406"/>
      <c r="U436" s="408"/>
      <c r="V436" s="425"/>
    </row>
    <row r="437" spans="1:22" ht="45" customHeight="1" x14ac:dyDescent="0.3">
      <c r="A437" s="390"/>
      <c r="B437" s="480"/>
      <c r="C437" s="454"/>
      <c r="D437" s="454"/>
      <c r="E437" s="433"/>
      <c r="F437" s="483"/>
      <c r="G437" s="151">
        <v>1</v>
      </c>
      <c r="H437" s="24" t="s">
        <v>587</v>
      </c>
      <c r="I437" s="22">
        <f t="shared" si="927"/>
        <v>10084.033613445379</v>
      </c>
      <c r="J437" s="23">
        <f t="shared" si="928"/>
        <v>18.999999999999989</v>
      </c>
      <c r="K437" s="169">
        <v>12000</v>
      </c>
      <c r="L437" s="5">
        <f t="shared" si="935"/>
        <v>12000</v>
      </c>
      <c r="M437" s="412"/>
      <c r="N437" s="412"/>
      <c r="O437" s="412"/>
      <c r="P437" s="86">
        <f t="shared" si="923"/>
        <v>12000</v>
      </c>
      <c r="Q437" s="414"/>
      <c r="R437" s="412"/>
      <c r="S437" s="416"/>
      <c r="T437" s="406"/>
      <c r="U437" s="408"/>
      <c r="V437" s="425"/>
    </row>
    <row r="438" spans="1:22" ht="45" customHeight="1" x14ac:dyDescent="0.3">
      <c r="A438" s="476"/>
      <c r="B438" s="480"/>
      <c r="C438" s="454"/>
      <c r="D438" s="466"/>
      <c r="E438" s="433"/>
      <c r="F438" s="483"/>
      <c r="G438" s="151">
        <v>1</v>
      </c>
      <c r="H438" s="53" t="s">
        <v>587</v>
      </c>
      <c r="I438" s="22">
        <f t="shared" si="927"/>
        <v>7563.0252100840344</v>
      </c>
      <c r="J438" s="23">
        <f t="shared" si="928"/>
        <v>18.999999999999989</v>
      </c>
      <c r="K438" s="169">
        <v>9000</v>
      </c>
      <c r="L438" s="5">
        <f t="shared" si="935"/>
        <v>9000</v>
      </c>
      <c r="M438" s="412"/>
      <c r="N438" s="412"/>
      <c r="O438" s="412"/>
      <c r="P438" s="86">
        <f t="shared" si="923"/>
        <v>9000</v>
      </c>
      <c r="Q438" s="414"/>
      <c r="R438" s="412"/>
      <c r="S438" s="416"/>
      <c r="T438" s="406"/>
      <c r="U438" s="408">
        <f t="shared" si="907"/>
        <v>0</v>
      </c>
      <c r="V438" s="474"/>
    </row>
    <row r="439" spans="1:22" ht="45" customHeight="1" x14ac:dyDescent="0.3">
      <c r="A439" s="389">
        <v>208</v>
      </c>
      <c r="B439" s="477">
        <v>31162407</v>
      </c>
      <c r="C439" s="453" t="s">
        <v>588</v>
      </c>
      <c r="D439" s="471" t="s">
        <v>589</v>
      </c>
      <c r="E439" s="432" t="s">
        <v>78</v>
      </c>
      <c r="F439" s="434" t="s">
        <v>79</v>
      </c>
      <c r="G439" s="151">
        <v>1</v>
      </c>
      <c r="H439" s="24" t="s">
        <v>590</v>
      </c>
      <c r="I439" s="22">
        <f t="shared" si="927"/>
        <v>17500</v>
      </c>
      <c r="J439" s="23">
        <f t="shared" si="928"/>
        <v>19</v>
      </c>
      <c r="K439" s="169">
        <v>20825</v>
      </c>
      <c r="L439" s="5">
        <f t="shared" si="935"/>
        <v>20825</v>
      </c>
      <c r="M439" s="411">
        <f t="shared" ref="M439" si="1044">IFERROR(AVERAGE(L439:L442),"")</f>
        <v>40156.25</v>
      </c>
      <c r="N439" s="411">
        <f>IFERROR(HARMEAN(L439:L442),"")</f>
        <v>32766.905802479963</v>
      </c>
      <c r="O439" s="411">
        <f t="shared" ref="O439" si="1045">IFERROR(MEDIAN(L439:L442),"")</f>
        <v>39950</v>
      </c>
      <c r="P439" s="86">
        <f t="shared" si="923"/>
        <v>20825</v>
      </c>
      <c r="Q439" s="413">
        <f t="shared" ref="Q439" si="1046">IFERROR(SUM(P439:P442)/COUNTA(K439:K442),"")</f>
        <v>40156.25</v>
      </c>
      <c r="R439" s="411">
        <f t="shared" ref="R439" si="1047">IFERROR(_xlfn.STDEV.S(L439:L442),"")</f>
        <v>19746.079515944424</v>
      </c>
      <c r="S439" s="415">
        <f t="shared" ref="S439" si="1048">IFERROR(R439/M439,"")</f>
        <v>0.49173116304297398</v>
      </c>
      <c r="T439" s="405" t="s">
        <v>2005</v>
      </c>
      <c r="U439" s="407">
        <f t="shared" si="907"/>
        <v>40156.25</v>
      </c>
      <c r="V439" s="424"/>
    </row>
    <row r="440" spans="1:22" ht="45" customHeight="1" x14ac:dyDescent="0.3">
      <c r="A440" s="390"/>
      <c r="B440" s="266"/>
      <c r="C440" s="454"/>
      <c r="D440" s="472"/>
      <c r="E440" s="433"/>
      <c r="F440" s="435"/>
      <c r="G440" s="151">
        <v>1</v>
      </c>
      <c r="H440" s="24" t="s">
        <v>488</v>
      </c>
      <c r="I440" s="22">
        <f t="shared" si="927"/>
        <v>50336.134453781517</v>
      </c>
      <c r="J440" s="23">
        <f t="shared" si="928"/>
        <v>18.999999999999989</v>
      </c>
      <c r="K440" s="169">
        <v>59900</v>
      </c>
      <c r="L440" s="5">
        <f t="shared" si="935"/>
        <v>59900</v>
      </c>
      <c r="M440" s="412"/>
      <c r="N440" s="412"/>
      <c r="O440" s="412"/>
      <c r="P440" s="86">
        <f t="shared" si="923"/>
        <v>59900</v>
      </c>
      <c r="Q440" s="414"/>
      <c r="R440" s="412"/>
      <c r="S440" s="416"/>
      <c r="T440" s="406"/>
      <c r="U440" s="408"/>
      <c r="V440" s="425"/>
    </row>
    <row r="441" spans="1:22" ht="45" customHeight="1" x14ac:dyDescent="0.3">
      <c r="A441" s="390"/>
      <c r="B441" s="266"/>
      <c r="C441" s="454"/>
      <c r="D441" s="472"/>
      <c r="E441" s="433"/>
      <c r="F441" s="435"/>
      <c r="G441" s="151">
        <v>1</v>
      </c>
      <c r="H441" s="24" t="s">
        <v>584</v>
      </c>
      <c r="I441" s="22">
        <f t="shared" si="927"/>
        <v>45546.218487394959</v>
      </c>
      <c r="J441" s="23">
        <f t="shared" si="928"/>
        <v>18.999999999999996</v>
      </c>
      <c r="K441" s="169">
        <v>54200</v>
      </c>
      <c r="L441" s="5">
        <f t="shared" si="935"/>
        <v>54200</v>
      </c>
      <c r="M441" s="412"/>
      <c r="N441" s="412"/>
      <c r="O441" s="412"/>
      <c r="P441" s="86">
        <f t="shared" si="923"/>
        <v>54200</v>
      </c>
      <c r="Q441" s="414"/>
      <c r="R441" s="412"/>
      <c r="S441" s="416"/>
      <c r="T441" s="406"/>
      <c r="U441" s="408"/>
      <c r="V441" s="425"/>
    </row>
    <row r="442" spans="1:22" ht="45" customHeight="1" x14ac:dyDescent="0.3">
      <c r="A442" s="476"/>
      <c r="B442" s="410"/>
      <c r="C442" s="466"/>
      <c r="D442" s="478"/>
      <c r="E442" s="445"/>
      <c r="F442" s="446"/>
      <c r="G442" s="151">
        <v>1</v>
      </c>
      <c r="H442" s="53" t="s">
        <v>584</v>
      </c>
      <c r="I442" s="22">
        <f t="shared" si="927"/>
        <v>21596.638655462186</v>
      </c>
      <c r="J442" s="23">
        <f t="shared" si="928"/>
        <v>18.999999999999993</v>
      </c>
      <c r="K442" s="169">
        <v>25700</v>
      </c>
      <c r="L442" s="5">
        <f t="shared" si="935"/>
        <v>25700</v>
      </c>
      <c r="M442" s="412"/>
      <c r="N442" s="412"/>
      <c r="O442" s="412"/>
      <c r="P442" s="86">
        <f t="shared" si="923"/>
        <v>25700</v>
      </c>
      <c r="Q442" s="414"/>
      <c r="R442" s="412"/>
      <c r="S442" s="416"/>
      <c r="T442" s="406"/>
      <c r="U442" s="408">
        <f t="shared" si="907"/>
        <v>0</v>
      </c>
      <c r="V442" s="474"/>
    </row>
    <row r="443" spans="1:22" ht="45" customHeight="1" x14ac:dyDescent="0.3">
      <c r="A443" s="389">
        <v>209</v>
      </c>
      <c r="B443" s="409">
        <v>23161505</v>
      </c>
      <c r="C443" s="453" t="s">
        <v>591</v>
      </c>
      <c r="D443" s="468" t="s">
        <v>2059</v>
      </c>
      <c r="E443" s="432" t="s">
        <v>78</v>
      </c>
      <c r="F443" s="434" t="s">
        <v>79</v>
      </c>
      <c r="G443" s="151">
        <v>1</v>
      </c>
      <c r="H443" s="24" t="s">
        <v>592</v>
      </c>
      <c r="I443" s="22">
        <f t="shared" si="927"/>
        <v>51008.403361344543</v>
      </c>
      <c r="J443" s="23">
        <f t="shared" si="928"/>
        <v>18.999999999999989</v>
      </c>
      <c r="K443" s="169">
        <v>60700</v>
      </c>
      <c r="L443" s="5">
        <f t="shared" si="935"/>
        <v>60700</v>
      </c>
      <c r="M443" s="411">
        <f t="shared" ref="M443" si="1049">IFERROR(AVERAGE(L443:L444),"")</f>
        <v>49150</v>
      </c>
      <c r="N443" s="411">
        <f t="shared" ref="N443" si="1050">IFERROR(HARMEAN(L443:L444),"")</f>
        <v>46435.808748728377</v>
      </c>
      <c r="O443" s="411">
        <f t="shared" ref="O443" si="1051">IFERROR(MEDIAN(L443:L444),"")</f>
        <v>49150</v>
      </c>
      <c r="P443" s="86">
        <f t="shared" si="923"/>
        <v>60700</v>
      </c>
      <c r="Q443" s="413">
        <f t="shared" ref="Q443" si="1052">IFERROR(SUM(P443:P444)/COUNTA(K443:K444),"")</f>
        <v>49150</v>
      </c>
      <c r="R443" s="411">
        <f t="shared" ref="R443" si="1053">IFERROR(_xlfn.STDEV.S(L443:L444),"")</f>
        <v>16334.166645409248</v>
      </c>
      <c r="S443" s="415">
        <f t="shared" ref="S443" si="1054">IFERROR(R443/M443,"")</f>
        <v>0.33233299380283315</v>
      </c>
      <c r="T443" s="417" t="s">
        <v>2005</v>
      </c>
      <c r="U443" s="407">
        <f t="shared" si="907"/>
        <v>49150</v>
      </c>
      <c r="V443" s="424"/>
    </row>
    <row r="444" spans="1:22" ht="45" customHeight="1" x14ac:dyDescent="0.3">
      <c r="A444" s="390"/>
      <c r="B444" s="266"/>
      <c r="C444" s="454"/>
      <c r="D444" s="475"/>
      <c r="E444" s="433"/>
      <c r="F444" s="435"/>
      <c r="G444" s="151">
        <v>1</v>
      </c>
      <c r="H444" s="53" t="s">
        <v>593</v>
      </c>
      <c r="I444" s="22">
        <f t="shared" si="927"/>
        <v>31596.638655462186</v>
      </c>
      <c r="J444" s="23">
        <f t="shared" si="928"/>
        <v>18.999999999999996</v>
      </c>
      <c r="K444" s="169">
        <v>37600</v>
      </c>
      <c r="L444" s="5">
        <f t="shared" si="935"/>
        <v>37600</v>
      </c>
      <c r="M444" s="412"/>
      <c r="N444" s="412"/>
      <c r="O444" s="412"/>
      <c r="P444" s="86">
        <f t="shared" si="923"/>
        <v>37600</v>
      </c>
      <c r="Q444" s="414"/>
      <c r="R444" s="412"/>
      <c r="S444" s="416"/>
      <c r="T444" s="418"/>
      <c r="U444" s="408">
        <f t="shared" si="907"/>
        <v>0</v>
      </c>
      <c r="V444" s="425"/>
    </row>
    <row r="445" spans="1:22" ht="45" customHeight="1" x14ac:dyDescent="0.3">
      <c r="A445" s="389">
        <v>210</v>
      </c>
      <c r="B445" s="409">
        <v>23161505</v>
      </c>
      <c r="C445" s="453" t="s">
        <v>594</v>
      </c>
      <c r="D445" s="473" t="s">
        <v>2060</v>
      </c>
      <c r="E445" s="432" t="s">
        <v>78</v>
      </c>
      <c r="F445" s="434" t="s">
        <v>79</v>
      </c>
      <c r="G445" s="151">
        <v>1</v>
      </c>
      <c r="H445" s="24" t="s">
        <v>592</v>
      </c>
      <c r="I445" s="22">
        <f t="shared" si="927"/>
        <v>57394.957983193279</v>
      </c>
      <c r="J445" s="23">
        <f t="shared" si="928"/>
        <v>18.999999999999996</v>
      </c>
      <c r="K445" s="169">
        <v>68300</v>
      </c>
      <c r="L445" s="5">
        <f t="shared" si="935"/>
        <v>68300</v>
      </c>
      <c r="M445" s="411">
        <f>IFERROR(AVERAGE(L445:L446),"")</f>
        <v>54550</v>
      </c>
      <c r="N445" s="411">
        <f t="shared" ref="N445" si="1055">IFERROR(HARMEAN(L445:L446),"")</f>
        <v>51084.142988084328</v>
      </c>
      <c r="O445" s="411">
        <f t="shared" ref="O445" si="1056">IFERROR(MEDIAN(L445:L446),"")</f>
        <v>54550</v>
      </c>
      <c r="P445" s="86">
        <f t="shared" si="923"/>
        <v>68300</v>
      </c>
      <c r="Q445" s="413">
        <f>IFERROR(SUM(P445:P446)/COUNTA(K445:K446),"")</f>
        <v>54550</v>
      </c>
      <c r="R445" s="411">
        <f t="shared" ref="R445" si="1057">IFERROR(_xlfn.STDEV.S(L445:L446),"")</f>
        <v>19445.436482630055</v>
      </c>
      <c r="S445" s="415">
        <f t="shared" ref="S445" si="1058">IFERROR(R445/M445,"")</f>
        <v>0.35646996301796618</v>
      </c>
      <c r="T445" s="417" t="s">
        <v>2005</v>
      </c>
      <c r="U445" s="407">
        <f>M445</f>
        <v>54550</v>
      </c>
      <c r="V445" s="424"/>
    </row>
    <row r="446" spans="1:22" ht="45" customHeight="1" x14ac:dyDescent="0.3">
      <c r="A446" s="390"/>
      <c r="B446" s="266"/>
      <c r="C446" s="454"/>
      <c r="D446" s="472"/>
      <c r="E446" s="433"/>
      <c r="F446" s="435"/>
      <c r="G446" s="151">
        <v>1</v>
      </c>
      <c r="H446" s="53" t="s">
        <v>593</v>
      </c>
      <c r="I446" s="22">
        <f t="shared" si="927"/>
        <v>34285.71428571429</v>
      </c>
      <c r="J446" s="23">
        <f t="shared" si="928"/>
        <v>18.999999999999986</v>
      </c>
      <c r="K446" s="169">
        <v>40800</v>
      </c>
      <c r="L446" s="5">
        <f t="shared" si="935"/>
        <v>40800</v>
      </c>
      <c r="M446" s="412"/>
      <c r="N446" s="412"/>
      <c r="O446" s="412"/>
      <c r="P446" s="86">
        <f t="shared" si="923"/>
        <v>40800</v>
      </c>
      <c r="Q446" s="414"/>
      <c r="R446" s="412"/>
      <c r="S446" s="416"/>
      <c r="T446" s="418"/>
      <c r="U446" s="408">
        <f t="shared" ref="U446:U487" si="1059">M446</f>
        <v>0</v>
      </c>
      <c r="V446" s="425"/>
    </row>
    <row r="447" spans="1:22" ht="45" customHeight="1" x14ac:dyDescent="0.3">
      <c r="A447" s="389">
        <v>211</v>
      </c>
      <c r="B447" s="409">
        <v>27111534</v>
      </c>
      <c r="C447" s="453" t="s">
        <v>595</v>
      </c>
      <c r="D447" s="471" t="s">
        <v>596</v>
      </c>
      <c r="E447" s="432" t="s">
        <v>78</v>
      </c>
      <c r="F447" s="434" t="s">
        <v>79</v>
      </c>
      <c r="G447" s="151">
        <v>1</v>
      </c>
      <c r="H447" s="24" t="s">
        <v>526</v>
      </c>
      <c r="I447" s="22">
        <f t="shared" si="927"/>
        <v>83200</v>
      </c>
      <c r="J447" s="23">
        <f t="shared" si="928"/>
        <v>19</v>
      </c>
      <c r="K447" s="169">
        <v>99008</v>
      </c>
      <c r="L447" s="5">
        <f t="shared" si="935"/>
        <v>99008</v>
      </c>
      <c r="M447" s="411">
        <f t="shared" ref="M447" si="1060">IFERROR(AVERAGE(L447:L448),"")</f>
        <v>97044.5</v>
      </c>
      <c r="N447" s="411">
        <f t="shared" ref="N447" si="1061">IFERROR(HARMEAN(L447:L448),"")</f>
        <v>97004.772532188843</v>
      </c>
      <c r="O447" s="411">
        <f t="shared" ref="O447" si="1062">IFERROR(MEDIAN(L447:L448),"")</f>
        <v>97044.5</v>
      </c>
      <c r="P447" s="86">
        <f t="shared" si="923"/>
        <v>99008</v>
      </c>
      <c r="Q447" s="413">
        <f t="shared" ref="Q447" si="1063">IFERROR(SUM(P447:P448)/COUNTA(K447:K448),"")</f>
        <v>97044.5</v>
      </c>
      <c r="R447" s="411">
        <f t="shared" ref="R447" si="1064">IFERROR(_xlfn.STDEV.S(L447:L448),"")</f>
        <v>2776.8083297195722</v>
      </c>
      <c r="S447" s="415">
        <f t="shared" ref="S447" si="1065">IFERROR(R447/M447,"")</f>
        <v>2.8613763064569059E-2</v>
      </c>
      <c r="T447" s="417" t="s">
        <v>2005</v>
      </c>
      <c r="U447" s="407">
        <f t="shared" si="1059"/>
        <v>97044.5</v>
      </c>
      <c r="V447" s="424" t="e" vm="155">
        <v>#VALUE!</v>
      </c>
    </row>
    <row r="448" spans="1:22" ht="45" customHeight="1" x14ac:dyDescent="0.3">
      <c r="A448" s="390"/>
      <c r="B448" s="266"/>
      <c r="C448" s="454"/>
      <c r="D448" s="472"/>
      <c r="E448" s="433"/>
      <c r="F448" s="435"/>
      <c r="G448" s="151">
        <v>1</v>
      </c>
      <c r="H448" s="53" t="s">
        <v>454</v>
      </c>
      <c r="I448" s="22">
        <f t="shared" si="927"/>
        <v>79900</v>
      </c>
      <c r="J448" s="23">
        <f t="shared" si="928"/>
        <v>19</v>
      </c>
      <c r="K448" s="169">
        <v>95081</v>
      </c>
      <c r="L448" s="5">
        <f t="shared" si="935"/>
        <v>95081</v>
      </c>
      <c r="M448" s="412"/>
      <c r="N448" s="412"/>
      <c r="O448" s="412"/>
      <c r="P448" s="86">
        <f t="shared" si="923"/>
        <v>95081</v>
      </c>
      <c r="Q448" s="414"/>
      <c r="R448" s="412"/>
      <c r="S448" s="416"/>
      <c r="T448" s="418"/>
      <c r="U448" s="408">
        <f t="shared" si="1059"/>
        <v>0</v>
      </c>
      <c r="V448" s="425"/>
    </row>
    <row r="449" spans="1:22" ht="45" customHeight="1" x14ac:dyDescent="0.3">
      <c r="A449" s="389">
        <v>212</v>
      </c>
      <c r="B449" s="409">
        <v>11162114</v>
      </c>
      <c r="C449" s="453" t="s">
        <v>597</v>
      </c>
      <c r="D449" s="468" t="s">
        <v>2061</v>
      </c>
      <c r="E449" s="432" t="s">
        <v>42</v>
      </c>
      <c r="F449" s="434" t="s">
        <v>72</v>
      </c>
      <c r="G449" s="151">
        <v>1</v>
      </c>
      <c r="H449" s="24" t="s">
        <v>425</v>
      </c>
      <c r="I449" s="22">
        <f t="shared" si="927"/>
        <v>58900</v>
      </c>
      <c r="J449" s="23">
        <f t="shared" si="928"/>
        <v>19</v>
      </c>
      <c r="K449" s="169">
        <v>70091</v>
      </c>
      <c r="L449" s="5">
        <f t="shared" si="935"/>
        <v>70091</v>
      </c>
      <c r="M449" s="411">
        <f>IFERROR(AVERAGE(L449:L450),"")</f>
        <v>55870.5</v>
      </c>
      <c r="N449" s="411">
        <f>IFERROR(HARMEAN(L449:L450),"")</f>
        <v>52251.011714589993</v>
      </c>
      <c r="O449" s="411">
        <f t="shared" ref="O449" si="1066">IFERROR(MEDIAN(L449:L450),"")</f>
        <v>55870.5</v>
      </c>
      <c r="P449" s="86">
        <f t="shared" si="923"/>
        <v>70091</v>
      </c>
      <c r="Q449" s="413">
        <f t="shared" ref="Q449" si="1067">IFERROR(SUM(P449:P450)/COUNTA(K449:K450),"")</f>
        <v>55870.5</v>
      </c>
      <c r="R449" s="411">
        <f t="shared" ref="R449" si="1068">IFERROR(_xlfn.STDEV.S(L449:L450),"")</f>
        <v>20110.823963726598</v>
      </c>
      <c r="S449" s="415">
        <f t="shared" ref="S449" si="1069">IFERROR(R449/M449,"")</f>
        <v>0.35995425069986126</v>
      </c>
      <c r="T449" s="417" t="s">
        <v>2005</v>
      </c>
      <c r="U449" s="407">
        <f t="shared" si="1059"/>
        <v>55870.5</v>
      </c>
      <c r="V449" s="424" t="e" vm="156">
        <v>#VALUE!</v>
      </c>
    </row>
    <row r="450" spans="1:22" ht="45" customHeight="1" x14ac:dyDescent="0.3">
      <c r="A450" s="390"/>
      <c r="B450" s="266"/>
      <c r="C450" s="454"/>
      <c r="D450" s="469"/>
      <c r="E450" s="433"/>
      <c r="F450" s="435"/>
      <c r="G450" s="151">
        <v>1</v>
      </c>
      <c r="H450" s="53" t="s">
        <v>598</v>
      </c>
      <c r="I450" s="22">
        <f t="shared" si="927"/>
        <v>35000</v>
      </c>
      <c r="J450" s="23">
        <f t="shared" si="928"/>
        <v>19</v>
      </c>
      <c r="K450" s="169">
        <v>41650</v>
      </c>
      <c r="L450" s="31">
        <f t="shared" si="935"/>
        <v>41650</v>
      </c>
      <c r="M450" s="412"/>
      <c r="N450" s="412"/>
      <c r="O450" s="412"/>
      <c r="P450" s="86">
        <f t="shared" si="923"/>
        <v>41650</v>
      </c>
      <c r="Q450" s="414"/>
      <c r="R450" s="412"/>
      <c r="S450" s="416"/>
      <c r="T450" s="418"/>
      <c r="U450" s="408">
        <f t="shared" si="1059"/>
        <v>0</v>
      </c>
      <c r="V450" s="425"/>
    </row>
    <row r="451" spans="1:22" ht="45" customHeight="1" x14ac:dyDescent="0.3">
      <c r="A451" s="463">
        <v>213</v>
      </c>
      <c r="B451" s="409">
        <v>27112700</v>
      </c>
      <c r="C451" s="453" t="s">
        <v>599</v>
      </c>
      <c r="D451" s="458" t="s">
        <v>600</v>
      </c>
      <c r="E451" s="432" t="s">
        <v>78</v>
      </c>
      <c r="F451" s="434" t="s">
        <v>601</v>
      </c>
      <c r="G451" s="151">
        <v>1</v>
      </c>
      <c r="H451" s="24" t="s">
        <v>454</v>
      </c>
      <c r="I451" s="22">
        <f t="shared" si="927"/>
        <v>164621.84873949579</v>
      </c>
      <c r="J451" s="23">
        <f t="shared" si="928"/>
        <v>19.000000000000007</v>
      </c>
      <c r="K451" s="204">
        <v>195900</v>
      </c>
      <c r="L451" s="85">
        <f t="shared" si="935"/>
        <v>195900</v>
      </c>
      <c r="M451" s="380">
        <f>IFERROR(AVERAGE(L451:L453),"")</f>
        <v>177000</v>
      </c>
      <c r="N451" s="380">
        <f>IFERROR(HARMEAN(L451:L453),"")</f>
        <v>175360.10450163094</v>
      </c>
      <c r="O451" s="380">
        <f>IFERROR(MEDIAN(L451:L453),"")</f>
        <v>180000</v>
      </c>
      <c r="P451" s="86">
        <f t="shared" si="923"/>
        <v>195900</v>
      </c>
      <c r="Q451" s="413">
        <f>IFERROR(SUM(P451:P452)/COUNTA(K451:K453),"")</f>
        <v>117000</v>
      </c>
      <c r="R451" s="411">
        <f t="shared" ref="R451" si="1070">IFERROR(_xlfn.STDEV.S(L451:L452),"")</f>
        <v>28849.956672411139</v>
      </c>
      <c r="S451" s="415">
        <f t="shared" ref="S451" si="1071">IFERROR(R451/M451,"")</f>
        <v>0.16299410549384824</v>
      </c>
      <c r="T451" s="417" t="s">
        <v>2005</v>
      </c>
      <c r="U451" s="407">
        <f>M451</f>
        <v>177000</v>
      </c>
      <c r="V451" s="461" t="e" vm="157">
        <v>#VALUE!</v>
      </c>
    </row>
    <row r="452" spans="1:22" ht="45" customHeight="1" x14ac:dyDescent="0.3">
      <c r="A452" s="464"/>
      <c r="B452" s="266"/>
      <c r="C452" s="454"/>
      <c r="D452" s="459"/>
      <c r="E452" s="433"/>
      <c r="F452" s="435"/>
      <c r="G452" s="151">
        <v>1</v>
      </c>
      <c r="H452" s="53" t="s">
        <v>602</v>
      </c>
      <c r="I452" s="22">
        <f t="shared" si="927"/>
        <v>130336.13445378152</v>
      </c>
      <c r="J452" s="23">
        <f t="shared" si="928"/>
        <v>18.999999999999996</v>
      </c>
      <c r="K452" s="204">
        <v>155100</v>
      </c>
      <c r="L452" s="85">
        <f t="shared" si="935"/>
        <v>155100</v>
      </c>
      <c r="M452" s="380"/>
      <c r="N452" s="380"/>
      <c r="O452" s="380"/>
      <c r="P452" s="86">
        <f t="shared" si="923"/>
        <v>155100</v>
      </c>
      <c r="Q452" s="414"/>
      <c r="R452" s="412"/>
      <c r="S452" s="416"/>
      <c r="T452" s="418"/>
      <c r="U452" s="408"/>
      <c r="V452" s="436"/>
    </row>
    <row r="453" spans="1:22" ht="45" customHeight="1" x14ac:dyDescent="0.3">
      <c r="A453" s="465"/>
      <c r="B453" s="266"/>
      <c r="C453" s="466"/>
      <c r="D453" s="467"/>
      <c r="E453" s="433"/>
      <c r="F453" s="435"/>
      <c r="G453" s="151">
        <v>1</v>
      </c>
      <c r="H453" s="24" t="s">
        <v>603</v>
      </c>
      <c r="I453" s="22">
        <f t="shared" si="927"/>
        <v>151260.50420168068</v>
      </c>
      <c r="J453" s="23">
        <f t="shared" si="928"/>
        <v>18.999999999999993</v>
      </c>
      <c r="K453" s="204">
        <v>180000</v>
      </c>
      <c r="L453" s="85">
        <f t="shared" si="935"/>
        <v>180000</v>
      </c>
      <c r="M453" s="380"/>
      <c r="N453" s="380"/>
      <c r="O453" s="380"/>
      <c r="P453" s="86">
        <f>IF(L453="","",L453)</f>
        <v>180000</v>
      </c>
      <c r="Q453" s="470"/>
      <c r="R453" s="411">
        <f t="shared" ref="R453" si="1072">IFERROR(_xlfn.STDEV.S(L453:L455),"")</f>
        <v>52654.633227602411</v>
      </c>
      <c r="S453" s="415">
        <f>IFERROR(R453/M454,"")</f>
        <v>0.35683299264441426</v>
      </c>
      <c r="T453" s="405"/>
      <c r="U453" s="462"/>
      <c r="V453" s="437"/>
    </row>
    <row r="454" spans="1:22" ht="45" customHeight="1" x14ac:dyDescent="0.3">
      <c r="A454" s="463">
        <v>214</v>
      </c>
      <c r="B454" s="409">
        <v>27112717</v>
      </c>
      <c r="C454" s="453" t="s">
        <v>604</v>
      </c>
      <c r="D454" s="453" t="s">
        <v>605</v>
      </c>
      <c r="E454" s="432" t="s">
        <v>78</v>
      </c>
      <c r="F454" s="434" t="s">
        <v>79</v>
      </c>
      <c r="G454" s="151">
        <v>1</v>
      </c>
      <c r="H454" s="24" t="s">
        <v>603</v>
      </c>
      <c r="I454" s="22">
        <f t="shared" ref="I454:I487" si="1073">IFERROR(K454/((100+J454)/100),"")</f>
        <v>151261.34453781514</v>
      </c>
      <c r="J454" s="23">
        <f t="shared" si="928"/>
        <v>18.999999999999993</v>
      </c>
      <c r="K454" s="169">
        <v>180001</v>
      </c>
      <c r="L454" s="37">
        <f t="shared" si="935"/>
        <v>180001</v>
      </c>
      <c r="M454" s="438">
        <f>IFERROR(AVERAGE(L454:L456),"")</f>
        <v>147561</v>
      </c>
      <c r="N454" s="438">
        <f>IFERROR(HARMEAN(L454:L456),"")</f>
        <v>132932.68891407026</v>
      </c>
      <c r="O454" s="438">
        <f>IFERROR(MEDIAN(L454:L456),"")</f>
        <v>173882</v>
      </c>
      <c r="P454" s="86">
        <f>IF(L454="","",L454)</f>
        <v>180001</v>
      </c>
      <c r="Q454" s="413">
        <f>IFERROR(SUM(P454:P456)/COUNTA(K453:K455),"")</f>
        <v>147561</v>
      </c>
      <c r="R454" s="412"/>
      <c r="S454" s="416"/>
      <c r="T454" s="406"/>
      <c r="U454" s="602">
        <f>M454</f>
        <v>147561</v>
      </c>
      <c r="V454" s="424"/>
    </row>
    <row r="455" spans="1:22" ht="45" customHeight="1" x14ac:dyDescent="0.3">
      <c r="A455" s="464"/>
      <c r="B455" s="266"/>
      <c r="C455" s="454"/>
      <c r="D455" s="454"/>
      <c r="E455" s="433"/>
      <c r="F455" s="435"/>
      <c r="G455" s="151">
        <v>1</v>
      </c>
      <c r="H455" s="53" t="s">
        <v>602</v>
      </c>
      <c r="I455" s="22">
        <f t="shared" si="1073"/>
        <v>74621.848739495807</v>
      </c>
      <c r="J455" s="23">
        <f t="shared" ref="J455:J487" si="1074">IF(K455="","",(K455-(K455/1.19))/(K455/1.19)*100)</f>
        <v>18.999999999999986</v>
      </c>
      <c r="K455" s="169">
        <v>88800</v>
      </c>
      <c r="L455" s="5">
        <f t="shared" si="935"/>
        <v>88800</v>
      </c>
      <c r="M455" s="380"/>
      <c r="N455" s="380"/>
      <c r="O455" s="380"/>
      <c r="P455" s="86">
        <f>IF(L455="","",L455)</f>
        <v>88800</v>
      </c>
      <c r="Q455" s="414"/>
      <c r="R455" s="412"/>
      <c r="S455" s="416"/>
      <c r="T455" s="406"/>
      <c r="U455" s="603"/>
      <c r="V455" s="425"/>
    </row>
    <row r="456" spans="1:22" ht="45" customHeight="1" x14ac:dyDescent="0.3">
      <c r="A456" s="465"/>
      <c r="B456" s="266"/>
      <c r="C456" s="466"/>
      <c r="D456" s="466"/>
      <c r="E456" s="433"/>
      <c r="F456" s="435"/>
      <c r="G456" s="151">
        <v>1</v>
      </c>
      <c r="H456" s="24" t="s">
        <v>606</v>
      </c>
      <c r="I456" s="22">
        <f t="shared" si="1073"/>
        <v>146119.32773109243</v>
      </c>
      <c r="J456" s="23">
        <f t="shared" si="1074"/>
        <v>19.000000000000007</v>
      </c>
      <c r="K456" s="169">
        <v>173882</v>
      </c>
      <c r="L456" s="5">
        <f t="shared" ref="L456:L477" si="1075">IF(I456="","",(K456)*G456)</f>
        <v>173882</v>
      </c>
      <c r="M456" s="380"/>
      <c r="N456" s="380"/>
      <c r="O456" s="380"/>
      <c r="P456" s="86">
        <f t="shared" ref="P456:P487" si="1076">IF(L456="","",L456)</f>
        <v>173882</v>
      </c>
      <c r="Q456" s="470"/>
      <c r="R456" s="411">
        <f t="shared" ref="R456" si="1077">IFERROR(_xlfn.STDEV.S(L456:L457),"")</f>
        <v>121101.93577313288</v>
      </c>
      <c r="S456" s="415">
        <f>IFERROR(R456/M457,"")</f>
        <v>35.707485116654247</v>
      </c>
      <c r="T456" s="417" t="s">
        <v>2005</v>
      </c>
      <c r="U456" s="604"/>
      <c r="V456" s="425"/>
    </row>
    <row r="457" spans="1:22" ht="45" customHeight="1" x14ac:dyDescent="0.3">
      <c r="A457" s="389">
        <v>215</v>
      </c>
      <c r="B457" s="409">
        <v>27111801</v>
      </c>
      <c r="C457" s="453" t="s">
        <v>607</v>
      </c>
      <c r="D457" s="460" t="s">
        <v>608</v>
      </c>
      <c r="E457" s="432" t="s">
        <v>78</v>
      </c>
      <c r="F457" s="434" t="s">
        <v>79</v>
      </c>
      <c r="G457" s="151">
        <v>1</v>
      </c>
      <c r="H457" s="53" t="s">
        <v>609</v>
      </c>
      <c r="I457" s="22">
        <f t="shared" si="1073"/>
        <v>2200</v>
      </c>
      <c r="J457" s="23">
        <f t="shared" si="1074"/>
        <v>19</v>
      </c>
      <c r="K457" s="169">
        <v>2618</v>
      </c>
      <c r="L457" s="5">
        <f>IF(I457="","",(K457)*G457)</f>
        <v>2618</v>
      </c>
      <c r="M457" s="411">
        <f>IFERROR(AVERAGE(L457:L458),"")</f>
        <v>3391.5</v>
      </c>
      <c r="N457" s="411">
        <f>IFERROR(HARMEAN(L457:L458),"")</f>
        <v>3215.0877192982457</v>
      </c>
      <c r="O457" s="411">
        <f>IFERROR(MEDIAN(L457:L458),"")</f>
        <v>3391.5</v>
      </c>
      <c r="P457" s="86">
        <f t="shared" si="1076"/>
        <v>2618</v>
      </c>
      <c r="Q457" s="413">
        <f>IFERROR(SUM(P457:P458)/COUNTA(K457:K458),"")</f>
        <v>3391.5</v>
      </c>
      <c r="R457" s="412"/>
      <c r="S457" s="416"/>
      <c r="T457" s="418"/>
      <c r="U457" s="602">
        <f>M457</f>
        <v>3391.5</v>
      </c>
      <c r="V457" s="424"/>
    </row>
    <row r="458" spans="1:22" ht="45" customHeight="1" x14ac:dyDescent="0.3">
      <c r="A458" s="390"/>
      <c r="B458" s="266"/>
      <c r="C458" s="454"/>
      <c r="D458" s="454"/>
      <c r="E458" s="433"/>
      <c r="F458" s="435"/>
      <c r="G458" s="151">
        <v>1</v>
      </c>
      <c r="H458" s="24" t="s">
        <v>610</v>
      </c>
      <c r="I458" s="22">
        <f t="shared" si="1073"/>
        <v>3500</v>
      </c>
      <c r="J458" s="23">
        <f t="shared" si="1074"/>
        <v>19</v>
      </c>
      <c r="K458" s="169">
        <v>4165</v>
      </c>
      <c r="L458" s="5">
        <f t="shared" si="1075"/>
        <v>4165</v>
      </c>
      <c r="M458" s="438"/>
      <c r="N458" s="438"/>
      <c r="O458" s="438"/>
      <c r="P458" s="86">
        <f t="shared" si="1076"/>
        <v>4165</v>
      </c>
      <c r="Q458" s="470"/>
      <c r="R458" s="411">
        <f t="shared" ref="R458" si="1078">IFERROR(_xlfn.STDEV.S(L458:L459),"")</f>
        <v>8636.602225412491</v>
      </c>
      <c r="S458" s="415">
        <f>IFERROR(R458/M459,"")</f>
        <v>0.70586426589943119</v>
      </c>
      <c r="T458" s="417" t="s">
        <v>2005</v>
      </c>
      <c r="U458" s="604"/>
      <c r="V458" s="425"/>
    </row>
    <row r="459" spans="1:22" ht="45" customHeight="1" x14ac:dyDescent="0.3">
      <c r="A459" s="389">
        <v>216</v>
      </c>
      <c r="B459" s="409">
        <v>24111503</v>
      </c>
      <c r="C459" s="453" t="s">
        <v>611</v>
      </c>
      <c r="D459" s="460" t="s">
        <v>612</v>
      </c>
      <c r="E459" s="432" t="s">
        <v>78</v>
      </c>
      <c r="F459" s="434" t="s">
        <v>79</v>
      </c>
      <c r="G459" s="151">
        <v>1</v>
      </c>
      <c r="H459" s="53" t="s">
        <v>613</v>
      </c>
      <c r="I459" s="22">
        <f t="shared" si="1073"/>
        <v>13763.865546218489</v>
      </c>
      <c r="J459" s="23">
        <f t="shared" si="1074"/>
        <v>18.999999999999986</v>
      </c>
      <c r="K459" s="169">
        <v>16379</v>
      </c>
      <c r="L459" s="5">
        <f t="shared" si="1075"/>
        <v>16379</v>
      </c>
      <c r="M459" s="380">
        <f>IFERROR(AVERAGE(L459:L460),"")</f>
        <v>12235.5</v>
      </c>
      <c r="N459" s="380">
        <f>IFERROR(HARMEAN(L459:L460),"")</f>
        <v>10832.321359977115</v>
      </c>
      <c r="O459" s="380">
        <f>IFERROR(MEDIAN(L459:L460),"")</f>
        <v>12235.5</v>
      </c>
      <c r="P459" s="86">
        <f t="shared" si="1076"/>
        <v>16379</v>
      </c>
      <c r="Q459" s="413">
        <f>IFERROR(SUM(P459:P460)/COUNTA(K458:K459),"")</f>
        <v>12235.5</v>
      </c>
      <c r="R459" s="412"/>
      <c r="S459" s="416"/>
      <c r="T459" s="418"/>
      <c r="U459" s="602">
        <f>M459</f>
        <v>12235.5</v>
      </c>
      <c r="V459" s="424" t="e" vm="158">
        <v>#VALUE!</v>
      </c>
    </row>
    <row r="460" spans="1:22" ht="45" customHeight="1" x14ac:dyDescent="0.3">
      <c r="A460" s="390"/>
      <c r="B460" s="266"/>
      <c r="C460" s="454"/>
      <c r="D460" s="454"/>
      <c r="E460" s="433"/>
      <c r="F460" s="435"/>
      <c r="G460" s="151">
        <v>1</v>
      </c>
      <c r="H460" s="24" t="s">
        <v>614</v>
      </c>
      <c r="I460" s="22">
        <f t="shared" si="1073"/>
        <v>6800</v>
      </c>
      <c r="J460" s="23">
        <f t="shared" si="1074"/>
        <v>19</v>
      </c>
      <c r="K460" s="169">
        <v>8092</v>
      </c>
      <c r="L460" s="5">
        <f t="shared" si="1075"/>
        <v>8092</v>
      </c>
      <c r="M460" s="380"/>
      <c r="N460" s="380"/>
      <c r="O460" s="380"/>
      <c r="P460" s="86">
        <f t="shared" si="1076"/>
        <v>8092</v>
      </c>
      <c r="Q460" s="470"/>
      <c r="R460" s="411">
        <f t="shared" ref="R460" si="1079">IFERROR(_xlfn.STDEV.S(L460:L461),"")</f>
        <v>36704.498797831307</v>
      </c>
      <c r="S460" s="415" t="str">
        <f>IFERROR(R460/#REF!,"")</f>
        <v/>
      </c>
      <c r="T460" s="417" t="s">
        <v>2005</v>
      </c>
      <c r="U460" s="604"/>
      <c r="V460" s="425"/>
    </row>
    <row r="461" spans="1:22" ht="45" customHeight="1" x14ac:dyDescent="0.3">
      <c r="A461" s="389">
        <v>217</v>
      </c>
      <c r="B461" s="426">
        <v>31201601</v>
      </c>
      <c r="C461" s="456" t="s">
        <v>615</v>
      </c>
      <c r="D461" s="458" t="s">
        <v>616</v>
      </c>
      <c r="E461" s="432" t="s">
        <v>617</v>
      </c>
      <c r="F461" s="434" t="s">
        <v>617</v>
      </c>
      <c r="G461" s="151">
        <v>1</v>
      </c>
      <c r="H461" s="53" t="s">
        <v>618</v>
      </c>
      <c r="I461" s="22">
        <f t="shared" si="1073"/>
        <v>50420.168067226892</v>
      </c>
      <c r="J461" s="23">
        <f t="shared" si="1074"/>
        <v>18.999999999999996</v>
      </c>
      <c r="K461" s="169">
        <v>60000</v>
      </c>
      <c r="L461" s="5">
        <f t="shared" si="1075"/>
        <v>60000</v>
      </c>
      <c r="M461" s="411">
        <f>IFERROR(AVERAGE(L461:L463),"")</f>
        <v>58333.333333333336</v>
      </c>
      <c r="N461" s="411">
        <f>IFERROR(HARMEAN(L461:L463),"")</f>
        <v>58235.294117647056</v>
      </c>
      <c r="O461" s="411">
        <f>IFERROR(MEDIAN(L461:L463),"")</f>
        <v>60000</v>
      </c>
      <c r="P461" s="86">
        <f>IF(L461="","",L461)</f>
        <v>60000</v>
      </c>
      <c r="Q461" s="413">
        <f>IFERROR(SUM(P461:P463)/COUNTA(K461:K463),"")</f>
        <v>58333.333333333336</v>
      </c>
      <c r="R461" s="412"/>
      <c r="S461" s="416"/>
      <c r="T461" s="418"/>
      <c r="U461" s="602">
        <f>M461</f>
        <v>58333.333333333336</v>
      </c>
      <c r="V461" s="424" t="e" vm="159">
        <v>#VALUE!</v>
      </c>
    </row>
    <row r="462" spans="1:22" ht="45" customHeight="1" x14ac:dyDescent="0.3">
      <c r="A462" s="390"/>
      <c r="B462" s="427"/>
      <c r="C462" s="457"/>
      <c r="D462" s="459"/>
      <c r="E462" s="433"/>
      <c r="F462" s="435"/>
      <c r="G462" s="151">
        <v>1</v>
      </c>
      <c r="H462" s="24" t="s">
        <v>567</v>
      </c>
      <c r="I462" s="22">
        <f t="shared" si="1073"/>
        <v>50420.168067226892</v>
      </c>
      <c r="J462" s="23">
        <f t="shared" si="1074"/>
        <v>18.999999999999996</v>
      </c>
      <c r="K462" s="169">
        <v>60000</v>
      </c>
      <c r="L462" s="5">
        <f t="shared" si="1075"/>
        <v>60000</v>
      </c>
      <c r="M462" s="412"/>
      <c r="N462" s="412"/>
      <c r="O462" s="412"/>
      <c r="P462" s="86">
        <f t="shared" si="1076"/>
        <v>60000</v>
      </c>
      <c r="Q462" s="414"/>
      <c r="R462" s="411">
        <f t="shared" ref="R462" si="1080">IFERROR(_xlfn.STDEV.S(L462:L463),"")</f>
        <v>3535.5339059327375</v>
      </c>
      <c r="S462" s="415">
        <f>IFERROR(R462/M461,"")</f>
        <v>6.0609152673132639E-2</v>
      </c>
      <c r="T462" s="417" t="s">
        <v>2005</v>
      </c>
      <c r="U462" s="603"/>
      <c r="V462" s="425"/>
    </row>
    <row r="463" spans="1:22" ht="45" customHeight="1" x14ac:dyDescent="0.3">
      <c r="A463" s="390"/>
      <c r="B463" s="427"/>
      <c r="C463" s="457"/>
      <c r="D463" s="459"/>
      <c r="E463" s="433"/>
      <c r="F463" s="435"/>
      <c r="G463" s="151">
        <v>1</v>
      </c>
      <c r="H463" s="53" t="s">
        <v>487</v>
      </c>
      <c r="I463" s="22">
        <f t="shared" si="1073"/>
        <v>46218.487394957985</v>
      </c>
      <c r="J463" s="23">
        <f t="shared" si="1074"/>
        <v>18.999999999999993</v>
      </c>
      <c r="K463" s="169">
        <v>55000</v>
      </c>
      <c r="L463" s="5">
        <f t="shared" si="1075"/>
        <v>55000</v>
      </c>
      <c r="M463" s="438"/>
      <c r="N463" s="438"/>
      <c r="O463" s="438"/>
      <c r="P463" s="86">
        <f t="shared" si="1076"/>
        <v>55000</v>
      </c>
      <c r="Q463" s="470"/>
      <c r="R463" s="412"/>
      <c r="S463" s="416"/>
      <c r="T463" s="418"/>
      <c r="U463" s="604"/>
      <c r="V463" s="425"/>
    </row>
    <row r="464" spans="1:22" ht="45" customHeight="1" x14ac:dyDescent="0.3">
      <c r="A464" s="389">
        <v>218</v>
      </c>
      <c r="B464" s="409">
        <v>11151701</v>
      </c>
      <c r="C464" s="453" t="s">
        <v>619</v>
      </c>
      <c r="D464" s="453" t="s">
        <v>620</v>
      </c>
      <c r="E464" s="432" t="s">
        <v>78</v>
      </c>
      <c r="F464" s="434" t="s">
        <v>476</v>
      </c>
      <c r="G464" s="151">
        <v>1</v>
      </c>
      <c r="H464" s="24" t="s">
        <v>621</v>
      </c>
      <c r="I464" s="22">
        <f t="shared" si="1073"/>
        <v>48739.495798319331</v>
      </c>
      <c r="J464" s="23">
        <f t="shared" si="1074"/>
        <v>18.999999999999993</v>
      </c>
      <c r="K464" s="169">
        <v>58000</v>
      </c>
      <c r="L464" s="5">
        <f t="shared" si="1075"/>
        <v>58000</v>
      </c>
      <c r="M464" s="411">
        <f>IFERROR(AVERAGE(L464:L465),"")</f>
        <v>44000</v>
      </c>
      <c r="N464" s="411">
        <f t="shared" ref="N464" si="1081">IFERROR(HARMEAN(L464:L465),"")</f>
        <v>39545.454545454544</v>
      </c>
      <c r="O464" s="411">
        <f>IFERROR(MEDIAN(L464:L465),"")</f>
        <v>44000</v>
      </c>
      <c r="P464" s="86">
        <f t="shared" si="1076"/>
        <v>58000</v>
      </c>
      <c r="Q464" s="413">
        <f>IFERROR(SUM(P464:P465)/COUNTA(K464:K465),"")</f>
        <v>44000</v>
      </c>
      <c r="R464" s="411">
        <f t="shared" ref="R464" si="1082">IFERROR(_xlfn.STDEV.S(L464:L465),"")</f>
        <v>19798.989873223331</v>
      </c>
      <c r="S464" s="415">
        <f t="shared" ref="S464" si="1083">IFERROR(R464/M464,"")</f>
        <v>0.44997704257325749</v>
      </c>
      <c r="T464" s="417" t="s">
        <v>2005</v>
      </c>
      <c r="U464" s="407">
        <f t="shared" si="1059"/>
        <v>44000</v>
      </c>
      <c r="V464" s="424" t="e" vm="160">
        <v>#VALUE!</v>
      </c>
    </row>
    <row r="465" spans="1:22" ht="45" customHeight="1" x14ac:dyDescent="0.3">
      <c r="A465" s="390"/>
      <c r="B465" s="266"/>
      <c r="C465" s="454"/>
      <c r="D465" s="454"/>
      <c r="E465" s="433"/>
      <c r="F465" s="435"/>
      <c r="G465" s="151">
        <v>1</v>
      </c>
      <c r="H465" s="53" t="s">
        <v>622</v>
      </c>
      <c r="I465" s="22">
        <f t="shared" si="1073"/>
        <v>25210.084033613446</v>
      </c>
      <c r="J465" s="23">
        <f t="shared" si="1074"/>
        <v>18.999999999999996</v>
      </c>
      <c r="K465" s="169">
        <v>30000</v>
      </c>
      <c r="L465" s="5">
        <f t="shared" si="1075"/>
        <v>30000</v>
      </c>
      <c r="M465" s="412"/>
      <c r="N465" s="412"/>
      <c r="O465" s="412"/>
      <c r="P465" s="86">
        <f t="shared" si="1076"/>
        <v>30000</v>
      </c>
      <c r="Q465" s="414"/>
      <c r="R465" s="412"/>
      <c r="S465" s="416"/>
      <c r="T465" s="418"/>
      <c r="U465" s="408">
        <f t="shared" si="1059"/>
        <v>0</v>
      </c>
      <c r="V465" s="425"/>
    </row>
    <row r="466" spans="1:22" ht="45" customHeight="1" x14ac:dyDescent="0.3">
      <c r="A466" s="389">
        <v>219</v>
      </c>
      <c r="B466" s="409">
        <v>11151701</v>
      </c>
      <c r="C466" s="453" t="s">
        <v>623</v>
      </c>
      <c r="D466" s="455" t="s">
        <v>624</v>
      </c>
      <c r="E466" s="432" t="s">
        <v>78</v>
      </c>
      <c r="F466" s="434" t="s">
        <v>476</v>
      </c>
      <c r="G466" s="151">
        <v>1</v>
      </c>
      <c r="H466" s="24" t="s">
        <v>625</v>
      </c>
      <c r="I466" s="22">
        <f t="shared" si="1073"/>
        <v>39495.798319327732</v>
      </c>
      <c r="J466" s="23">
        <f t="shared" si="1074"/>
        <v>18.999999999999996</v>
      </c>
      <c r="K466" s="169">
        <v>47000</v>
      </c>
      <c r="L466" s="5">
        <f t="shared" si="1075"/>
        <v>47000</v>
      </c>
      <c r="M466" s="411">
        <f t="shared" ref="M466" si="1084">IFERROR(AVERAGE(L466:L467),"")</f>
        <v>36000</v>
      </c>
      <c r="N466" s="411">
        <f t="shared" ref="N466" si="1085">IFERROR(HARMEAN(L466:L467),"")</f>
        <v>32638.888888888887</v>
      </c>
      <c r="O466" s="411">
        <f t="shared" ref="O466" si="1086">IFERROR(MEDIAN(L466:L467),"")</f>
        <v>36000</v>
      </c>
      <c r="P466" s="86">
        <f t="shared" si="1076"/>
        <v>47000</v>
      </c>
      <c r="Q466" s="413">
        <f>IFERROR(SUM(P466:P467)/COUNTA(K466:K467),"")</f>
        <v>36000</v>
      </c>
      <c r="R466" s="411">
        <f t="shared" ref="R466" si="1087">IFERROR(_xlfn.STDEV.S(L466:L467),"")</f>
        <v>15556.349186104046</v>
      </c>
      <c r="S466" s="415">
        <f t="shared" ref="S466" si="1088">IFERROR(R466/M466,"")</f>
        <v>0.43212081072511238</v>
      </c>
      <c r="T466" s="417" t="s">
        <v>2005</v>
      </c>
      <c r="U466" s="407">
        <f t="shared" si="1059"/>
        <v>36000</v>
      </c>
      <c r="V466" s="424" t="e" vm="161">
        <v>#VALUE!</v>
      </c>
    </row>
    <row r="467" spans="1:22" ht="45" customHeight="1" x14ac:dyDescent="0.3">
      <c r="A467" s="390"/>
      <c r="B467" s="266"/>
      <c r="C467" s="454"/>
      <c r="D467" s="455"/>
      <c r="E467" s="433"/>
      <c r="F467" s="435"/>
      <c r="G467" s="151">
        <v>1</v>
      </c>
      <c r="H467" s="53" t="s">
        <v>626</v>
      </c>
      <c r="I467" s="22">
        <f t="shared" si="1073"/>
        <v>21008.403361344539</v>
      </c>
      <c r="J467" s="23">
        <f t="shared" si="1074"/>
        <v>18.999999999999993</v>
      </c>
      <c r="K467" s="169">
        <v>25000</v>
      </c>
      <c r="L467" s="5">
        <f t="shared" si="1075"/>
        <v>25000</v>
      </c>
      <c r="M467" s="412"/>
      <c r="N467" s="412"/>
      <c r="O467" s="412"/>
      <c r="P467" s="86">
        <f t="shared" si="1076"/>
        <v>25000</v>
      </c>
      <c r="Q467" s="414"/>
      <c r="R467" s="412"/>
      <c r="S467" s="416"/>
      <c r="T467" s="418"/>
      <c r="U467" s="408">
        <f t="shared" si="1059"/>
        <v>0</v>
      </c>
      <c r="V467" s="425"/>
    </row>
    <row r="468" spans="1:22" ht="45" customHeight="1" x14ac:dyDescent="0.3">
      <c r="A468" s="389">
        <v>220</v>
      </c>
      <c r="B468" s="391">
        <v>11121604</v>
      </c>
      <c r="C468" s="451" t="s">
        <v>627</v>
      </c>
      <c r="D468" s="431" t="s">
        <v>628</v>
      </c>
      <c r="E468" s="432" t="s">
        <v>448</v>
      </c>
      <c r="F468" s="434" t="s">
        <v>290</v>
      </c>
      <c r="G468" s="151">
        <v>1</v>
      </c>
      <c r="H468" s="24" t="s">
        <v>429</v>
      </c>
      <c r="I468" s="22">
        <f t="shared" si="1073"/>
        <v>54621.848739495799</v>
      </c>
      <c r="J468" s="23">
        <v>19</v>
      </c>
      <c r="K468" s="22">
        <v>65000</v>
      </c>
      <c r="L468" s="5">
        <f t="shared" si="1075"/>
        <v>65000</v>
      </c>
      <c r="M468" s="411">
        <f t="shared" ref="M468" si="1089">IFERROR(AVERAGE(L468:L469),"")</f>
        <v>71175</v>
      </c>
      <c r="N468" s="411">
        <f t="shared" ref="N468" si="1090">IFERROR(HARMEAN(L468:L469),"")</f>
        <v>70639.269406392705</v>
      </c>
      <c r="O468" s="411">
        <f t="shared" ref="O468" si="1091">IFERROR(MEDIAN(L468:L469),"")</f>
        <v>71175</v>
      </c>
      <c r="P468" s="86">
        <f t="shared" si="1076"/>
        <v>65000</v>
      </c>
      <c r="Q468" s="413">
        <f t="shared" ref="Q468" si="1092">IFERROR(SUM(P468:P469)/COUNTA(K468:K469),"")</f>
        <v>71175</v>
      </c>
      <c r="R468" s="411">
        <f t="shared" ref="R468" si="1093">IFERROR(_xlfn.STDEV.S(L468:L469),"")</f>
        <v>8732.7687476538613</v>
      </c>
      <c r="S468" s="415">
        <f t="shared" ref="S468" si="1094">IFERROR(R468/M468,"")</f>
        <v>0.12269432732917263</v>
      </c>
      <c r="T468" s="417" t="s">
        <v>2005</v>
      </c>
      <c r="U468" s="407">
        <f t="shared" si="1059"/>
        <v>71175</v>
      </c>
      <c r="V468" s="424"/>
    </row>
    <row r="469" spans="1:22" ht="45" customHeight="1" x14ac:dyDescent="0.3">
      <c r="A469" s="390"/>
      <c r="B469" s="423"/>
      <c r="C469" s="452"/>
      <c r="D469" s="431"/>
      <c r="E469" s="433"/>
      <c r="F469" s="435"/>
      <c r="G469" s="151">
        <v>1</v>
      </c>
      <c r="H469" s="171" t="s">
        <v>2062</v>
      </c>
      <c r="I469" s="22">
        <f t="shared" si="1073"/>
        <v>65000</v>
      </c>
      <c r="J469" s="23">
        <f t="shared" si="1074"/>
        <v>19</v>
      </c>
      <c r="K469" s="169">
        <v>77350</v>
      </c>
      <c r="L469" s="31">
        <f t="shared" si="1075"/>
        <v>77350</v>
      </c>
      <c r="M469" s="412"/>
      <c r="N469" s="412"/>
      <c r="O469" s="412"/>
      <c r="P469" s="86">
        <f t="shared" si="1076"/>
        <v>77350</v>
      </c>
      <c r="Q469" s="414"/>
      <c r="R469" s="412"/>
      <c r="S469" s="416"/>
      <c r="T469" s="447"/>
      <c r="U469" s="408">
        <f t="shared" si="1059"/>
        <v>0</v>
      </c>
      <c r="V469" s="425"/>
    </row>
    <row r="470" spans="1:22" ht="45" customHeight="1" x14ac:dyDescent="0.3">
      <c r="A470" s="389">
        <v>221</v>
      </c>
      <c r="B470" s="395">
        <v>11121604</v>
      </c>
      <c r="C470" s="448" t="s">
        <v>630</v>
      </c>
      <c r="D470" s="449" t="s">
        <v>631</v>
      </c>
      <c r="E470" s="450" t="s">
        <v>448</v>
      </c>
      <c r="F470" s="450" t="s">
        <v>290</v>
      </c>
      <c r="G470" s="151">
        <v>1</v>
      </c>
      <c r="H470" s="152" t="s">
        <v>429</v>
      </c>
      <c r="I470" s="82">
        <f t="shared" si="1073"/>
        <v>54621.848739495799</v>
      </c>
      <c r="J470" s="83">
        <v>19</v>
      </c>
      <c r="K470" s="82">
        <v>65000</v>
      </c>
      <c r="L470" s="31">
        <f t="shared" si="1075"/>
        <v>65000</v>
      </c>
      <c r="M470" s="380">
        <f t="shared" ref="M470:M472" si="1095">IFERROR(AVERAGE(L470:L472),"")</f>
        <v>54986.666666666664</v>
      </c>
      <c r="N470" s="380">
        <f t="shared" ref="N470:N472" si="1096">IFERROR(HARMEAN(L470:L472),"")</f>
        <v>41355.876559422191</v>
      </c>
      <c r="O470" s="380">
        <f t="shared" ref="O470:O472" si="1097">IFERROR(MEDIAN(L470:L472),"")</f>
        <v>65000</v>
      </c>
      <c r="P470" s="87">
        <f t="shared" si="1076"/>
        <v>65000</v>
      </c>
      <c r="Q470" s="381">
        <f t="shared" ref="Q470:Q472" si="1098">IFERROR(SUM(P470:P472)/COUNTA(K470:K472),"")</f>
        <v>54986.666666666664</v>
      </c>
      <c r="R470" s="411">
        <f t="shared" ref="R470:R472" si="1099">IFERROR(_xlfn.STDEV.S(L470:L472),"")</f>
        <v>28710.921847501395</v>
      </c>
      <c r="S470" s="382">
        <f>IFERROR(R470/M470,"")</f>
        <v>0.52214334106755689</v>
      </c>
      <c r="T470" s="417" t="s">
        <v>2005</v>
      </c>
      <c r="U470" s="378">
        <f t="shared" si="1059"/>
        <v>54986.666666666664</v>
      </c>
      <c r="V470" s="440"/>
    </row>
    <row r="471" spans="1:22" ht="45" customHeight="1" x14ac:dyDescent="0.3">
      <c r="A471" s="390"/>
      <c r="B471" s="395"/>
      <c r="C471" s="448"/>
      <c r="D471" s="449"/>
      <c r="E471" s="450"/>
      <c r="F471" s="450"/>
      <c r="G471" s="151">
        <v>1</v>
      </c>
      <c r="H471" s="152" t="s">
        <v>2062</v>
      </c>
      <c r="I471" s="82">
        <f t="shared" si="1073"/>
        <v>65000</v>
      </c>
      <c r="J471" s="83">
        <v>19</v>
      </c>
      <c r="K471" s="175">
        <v>77350</v>
      </c>
      <c r="L471" s="85">
        <f t="shared" si="1075"/>
        <v>77350</v>
      </c>
      <c r="M471" s="380"/>
      <c r="N471" s="380"/>
      <c r="O471" s="380"/>
      <c r="P471" s="87">
        <f t="shared" si="1076"/>
        <v>77350</v>
      </c>
      <c r="Q471" s="381"/>
      <c r="R471" s="438"/>
      <c r="S471" s="382"/>
      <c r="T471" s="447"/>
      <c r="U471" s="378"/>
      <c r="V471" s="440"/>
    </row>
    <row r="472" spans="1:22" ht="45" customHeight="1" x14ac:dyDescent="0.3">
      <c r="A472" s="389">
        <v>222</v>
      </c>
      <c r="B472" s="427">
        <v>11121604</v>
      </c>
      <c r="C472" s="429" t="s">
        <v>632</v>
      </c>
      <c r="D472" s="443" t="s">
        <v>628</v>
      </c>
      <c r="E472" s="433" t="s">
        <v>448</v>
      </c>
      <c r="F472" s="435" t="s">
        <v>290</v>
      </c>
      <c r="G472" s="148">
        <v>1</v>
      </c>
      <c r="H472" s="43" t="s">
        <v>429</v>
      </c>
      <c r="I472" s="41">
        <f t="shared" si="1073"/>
        <v>19000</v>
      </c>
      <c r="J472" s="42">
        <f t="shared" si="1074"/>
        <v>19</v>
      </c>
      <c r="K472" s="176">
        <v>22610</v>
      </c>
      <c r="L472" s="37">
        <f t="shared" si="1075"/>
        <v>22610</v>
      </c>
      <c r="M472" s="380">
        <f t="shared" si="1095"/>
        <v>40856.666666666664</v>
      </c>
      <c r="N472" s="380">
        <f t="shared" si="1096"/>
        <v>29590.268456375841</v>
      </c>
      <c r="O472" s="380">
        <f t="shared" si="1097"/>
        <v>22610</v>
      </c>
      <c r="P472" s="77">
        <f t="shared" si="1076"/>
        <v>22610</v>
      </c>
      <c r="Q472" s="381">
        <f t="shared" si="1098"/>
        <v>40856.666666666664</v>
      </c>
      <c r="R472" s="411">
        <f t="shared" si="1099"/>
        <v>31604.153735440115</v>
      </c>
      <c r="S472" s="382">
        <f>IFERROR(R472/M472,"")</f>
        <v>0.77353725386571226</v>
      </c>
      <c r="T472" s="406" t="s">
        <v>2005</v>
      </c>
      <c r="U472" s="378">
        <f t="shared" si="1059"/>
        <v>40856.666666666664</v>
      </c>
      <c r="V472" s="436"/>
    </row>
    <row r="473" spans="1:22" ht="45" customHeight="1" x14ac:dyDescent="0.3">
      <c r="A473" s="390"/>
      <c r="B473" s="441"/>
      <c r="C473" s="442"/>
      <c r="D473" s="444"/>
      <c r="E473" s="445"/>
      <c r="F473" s="446"/>
      <c r="G473" s="149">
        <v>1</v>
      </c>
      <c r="H473" s="53" t="s">
        <v>2062</v>
      </c>
      <c r="I473" s="22">
        <f t="shared" si="1073"/>
        <v>65000</v>
      </c>
      <c r="J473" s="23">
        <f t="shared" si="1074"/>
        <v>19</v>
      </c>
      <c r="K473" s="169">
        <v>77350</v>
      </c>
      <c r="L473" s="5">
        <f t="shared" si="1075"/>
        <v>77350</v>
      </c>
      <c r="M473" s="380"/>
      <c r="N473" s="380"/>
      <c r="O473" s="380"/>
      <c r="P473" s="86">
        <f t="shared" si="1076"/>
        <v>77350</v>
      </c>
      <c r="Q473" s="381"/>
      <c r="R473" s="438"/>
      <c r="S473" s="382"/>
      <c r="T473" s="439"/>
      <c r="U473" s="378"/>
      <c r="V473" s="437"/>
    </row>
    <row r="474" spans="1:22" ht="45" customHeight="1" x14ac:dyDescent="0.3">
      <c r="A474" s="389">
        <v>223</v>
      </c>
      <c r="B474" s="426">
        <v>11121604</v>
      </c>
      <c r="C474" s="428" t="s">
        <v>633</v>
      </c>
      <c r="D474" s="430" t="s">
        <v>628</v>
      </c>
      <c r="E474" s="432" t="s">
        <v>448</v>
      </c>
      <c r="F474" s="434" t="s">
        <v>290</v>
      </c>
      <c r="G474" s="149">
        <v>1</v>
      </c>
      <c r="H474" s="24" t="s">
        <v>629</v>
      </c>
      <c r="I474" s="22">
        <f t="shared" si="1073"/>
        <v>19000</v>
      </c>
      <c r="J474" s="23">
        <f t="shared" si="1074"/>
        <v>19</v>
      </c>
      <c r="K474" s="169">
        <v>22610</v>
      </c>
      <c r="L474" s="5">
        <f t="shared" si="1075"/>
        <v>22610</v>
      </c>
      <c r="M474" s="411">
        <f t="shared" ref="M474" si="1100">IFERROR(AVERAGE(L474:L475),"")</f>
        <v>49980</v>
      </c>
      <c r="N474" s="411">
        <f t="shared" ref="N474" si="1101">IFERROR(HARMEAN(L474:L475),"")</f>
        <v>34991.666666666664</v>
      </c>
      <c r="O474" s="411">
        <f t="shared" ref="O474" si="1102">IFERROR(MEDIAN(L474:L475),"")</f>
        <v>49980</v>
      </c>
      <c r="P474" s="86">
        <f t="shared" si="1076"/>
        <v>22610</v>
      </c>
      <c r="Q474" s="413">
        <f t="shared" ref="Q474" si="1103">IFERROR(SUM(P474:P475)/COUNTA(K474:K475),"")</f>
        <v>49980</v>
      </c>
      <c r="R474" s="411">
        <f t="shared" ref="R474" si="1104">IFERROR(_xlfn.STDEV.S(L474:L475),"")</f>
        <v>38707.025202151613</v>
      </c>
      <c r="S474" s="415">
        <f t="shared" ref="S474" si="1105">IFERROR(R474/M474,"")</f>
        <v>0.77445028415669492</v>
      </c>
      <c r="T474" s="417" t="s">
        <v>2005</v>
      </c>
      <c r="U474" s="407">
        <f t="shared" si="1059"/>
        <v>49980</v>
      </c>
      <c r="V474" s="424"/>
    </row>
    <row r="475" spans="1:22" ht="45" customHeight="1" x14ac:dyDescent="0.3">
      <c r="A475" s="390"/>
      <c r="B475" s="427"/>
      <c r="C475" s="429"/>
      <c r="D475" s="431"/>
      <c r="E475" s="433"/>
      <c r="F475" s="435"/>
      <c r="G475" s="149">
        <v>1</v>
      </c>
      <c r="H475" s="53" t="s">
        <v>507</v>
      </c>
      <c r="I475" s="22">
        <f t="shared" si="1073"/>
        <v>65000</v>
      </c>
      <c r="J475" s="23">
        <f t="shared" si="1074"/>
        <v>19</v>
      </c>
      <c r="K475" s="169">
        <v>77350</v>
      </c>
      <c r="L475" s="5">
        <f t="shared" si="1075"/>
        <v>77350</v>
      </c>
      <c r="M475" s="412"/>
      <c r="N475" s="412"/>
      <c r="O475" s="412"/>
      <c r="P475" s="86">
        <f t="shared" si="1076"/>
        <v>77350</v>
      </c>
      <c r="Q475" s="414"/>
      <c r="R475" s="412"/>
      <c r="S475" s="416"/>
      <c r="T475" s="418"/>
      <c r="U475" s="408">
        <f t="shared" si="1059"/>
        <v>0</v>
      </c>
      <c r="V475" s="425"/>
    </row>
    <row r="476" spans="1:22" ht="45" customHeight="1" x14ac:dyDescent="0.3">
      <c r="A476" s="389">
        <v>224</v>
      </c>
      <c r="B476" s="426">
        <v>11121604</v>
      </c>
      <c r="C476" s="428" t="s">
        <v>634</v>
      </c>
      <c r="D476" s="430" t="s">
        <v>635</v>
      </c>
      <c r="E476" s="432" t="s">
        <v>448</v>
      </c>
      <c r="F476" s="434" t="s">
        <v>290</v>
      </c>
      <c r="G476" s="149">
        <v>1</v>
      </c>
      <c r="H476" s="24" t="s">
        <v>429</v>
      </c>
      <c r="I476" s="22">
        <f t="shared" si="1073"/>
        <v>19000</v>
      </c>
      <c r="J476" s="23">
        <f t="shared" si="1074"/>
        <v>19</v>
      </c>
      <c r="K476" s="169">
        <v>22610</v>
      </c>
      <c r="L476" s="5">
        <f t="shared" si="1075"/>
        <v>22610</v>
      </c>
      <c r="M476" s="411">
        <f t="shared" ref="M476" si="1106">IFERROR(AVERAGE(L476:L477),"")</f>
        <v>49980</v>
      </c>
      <c r="N476" s="411">
        <f t="shared" ref="N476" si="1107">IFERROR(HARMEAN(L476:L477),"")</f>
        <v>34991.666666666664</v>
      </c>
      <c r="O476" s="411">
        <f t="shared" ref="O476" si="1108">IFERROR(MEDIAN(L476:L477),"")</f>
        <v>49980</v>
      </c>
      <c r="P476" s="86">
        <f t="shared" si="1076"/>
        <v>22610</v>
      </c>
      <c r="Q476" s="413">
        <f t="shared" ref="Q476" si="1109">IFERROR(SUM(P476:P477)/COUNTA(K476:K477),"")</f>
        <v>49980</v>
      </c>
      <c r="R476" s="411">
        <f t="shared" ref="R476" si="1110">IFERROR(_xlfn.STDEV.S(L476:L477),"")</f>
        <v>38707.025202151613</v>
      </c>
      <c r="S476" s="415">
        <f t="shared" ref="S476" si="1111">IFERROR(R476/M476,"")</f>
        <v>0.77445028415669492</v>
      </c>
      <c r="T476" s="417" t="s">
        <v>2005</v>
      </c>
      <c r="U476" s="407">
        <f t="shared" si="1059"/>
        <v>49980</v>
      </c>
      <c r="V476" s="424"/>
    </row>
    <row r="477" spans="1:22" ht="45" customHeight="1" x14ac:dyDescent="0.3">
      <c r="A477" s="390"/>
      <c r="B477" s="427"/>
      <c r="C477" s="429"/>
      <c r="D477" s="431"/>
      <c r="E477" s="433"/>
      <c r="F477" s="435"/>
      <c r="G477" s="149">
        <v>1</v>
      </c>
      <c r="H477" s="53" t="s">
        <v>2062</v>
      </c>
      <c r="I477" s="22">
        <f t="shared" si="1073"/>
        <v>65000</v>
      </c>
      <c r="J477" s="23">
        <f t="shared" si="1074"/>
        <v>19</v>
      </c>
      <c r="K477" s="169">
        <v>77350</v>
      </c>
      <c r="L477" s="5">
        <f t="shared" si="1075"/>
        <v>77350</v>
      </c>
      <c r="M477" s="412"/>
      <c r="N477" s="412"/>
      <c r="O477" s="412"/>
      <c r="P477" s="86">
        <f t="shared" si="1076"/>
        <v>77350</v>
      </c>
      <c r="Q477" s="414"/>
      <c r="R477" s="412"/>
      <c r="S477" s="416"/>
      <c r="T477" s="418"/>
      <c r="U477" s="408">
        <f t="shared" si="1059"/>
        <v>0</v>
      </c>
      <c r="V477" s="425"/>
    </row>
    <row r="478" spans="1:22" ht="45" customHeight="1" x14ac:dyDescent="0.3">
      <c r="A478" s="389">
        <v>225</v>
      </c>
      <c r="B478" s="391">
        <v>312016</v>
      </c>
      <c r="C478" s="419" t="s">
        <v>2063</v>
      </c>
      <c r="D478" s="419" t="s">
        <v>2064</v>
      </c>
      <c r="E478" s="421" t="s">
        <v>65</v>
      </c>
      <c r="F478" s="421" t="s">
        <v>104</v>
      </c>
      <c r="G478" s="391">
        <v>1</v>
      </c>
      <c r="H478" s="24" t="s">
        <v>2065</v>
      </c>
      <c r="I478" s="22">
        <f t="shared" si="1073"/>
        <v>32773.10924369748</v>
      </c>
      <c r="J478" s="23">
        <f t="shared" si="1074"/>
        <v>18.999999999999996</v>
      </c>
      <c r="K478" s="22">
        <v>39000</v>
      </c>
      <c r="L478" s="5">
        <f>IF(I478="","",(K478)*$G$478)</f>
        <v>39000</v>
      </c>
      <c r="M478" s="411">
        <f t="shared" ref="M478" si="1112">IFERROR(AVERAGE(L478:L479),"")</f>
        <v>38500</v>
      </c>
      <c r="N478" s="411">
        <f t="shared" ref="N478" si="1113">IFERROR(HARMEAN(L478:L479),"")</f>
        <v>38493.506493506495</v>
      </c>
      <c r="O478" s="411">
        <f t="shared" ref="O478" si="1114">IFERROR(MEDIAN(L478:L479),"")</f>
        <v>38500</v>
      </c>
      <c r="P478" s="86">
        <f t="shared" si="1076"/>
        <v>39000</v>
      </c>
      <c r="Q478" s="413">
        <f t="shared" ref="Q478" si="1115">IFERROR(SUM(P478:P479)/COUNTA(K478:K479),"")</f>
        <v>38500</v>
      </c>
      <c r="R478" s="411">
        <f t="shared" ref="R478" si="1116">IFERROR(_xlfn.STDEV.S(L478:L479),"")</f>
        <v>707.10678118654755</v>
      </c>
      <c r="S478" s="415">
        <f t="shared" ref="S478" si="1117">IFERROR(R478/M478,"")</f>
        <v>1.8366409900949288E-2</v>
      </c>
      <c r="T478" s="417"/>
      <c r="U478" s="407">
        <f t="shared" si="1059"/>
        <v>38500</v>
      </c>
      <c r="V478" s="409"/>
    </row>
    <row r="479" spans="1:22" ht="45" customHeight="1" x14ac:dyDescent="0.3">
      <c r="A479" s="390"/>
      <c r="B479" s="392"/>
      <c r="C479" s="420"/>
      <c r="D479" s="420"/>
      <c r="E479" s="422"/>
      <c r="F479" s="422"/>
      <c r="G479" s="423"/>
      <c r="H479" s="53" t="s">
        <v>2066</v>
      </c>
      <c r="I479" s="22">
        <f t="shared" si="1073"/>
        <v>31932.773109243699</v>
      </c>
      <c r="J479" s="23">
        <f t="shared" si="1074"/>
        <v>18.999999999999993</v>
      </c>
      <c r="K479" s="22">
        <v>38000</v>
      </c>
      <c r="L479" s="5">
        <f>IF(I479="","",(K479)*$G$478)</f>
        <v>38000</v>
      </c>
      <c r="M479" s="412"/>
      <c r="N479" s="412"/>
      <c r="O479" s="412"/>
      <c r="P479" s="86">
        <f t="shared" si="1076"/>
        <v>38000</v>
      </c>
      <c r="Q479" s="414"/>
      <c r="R479" s="412"/>
      <c r="S479" s="416"/>
      <c r="T479" s="418"/>
      <c r="U479" s="408">
        <f t="shared" si="1059"/>
        <v>0</v>
      </c>
      <c r="V479" s="410"/>
    </row>
    <row r="480" spans="1:22" ht="45" customHeight="1" x14ac:dyDescent="0.3">
      <c r="A480" s="389">
        <v>226</v>
      </c>
      <c r="B480" s="391">
        <v>312016</v>
      </c>
      <c r="C480" s="419" t="s">
        <v>2067</v>
      </c>
      <c r="D480" s="419" t="s">
        <v>2068</v>
      </c>
      <c r="E480" s="421" t="s">
        <v>70</v>
      </c>
      <c r="F480" s="421" t="s">
        <v>104</v>
      </c>
      <c r="G480" s="391">
        <v>1</v>
      </c>
      <c r="H480" s="24" t="s">
        <v>2065</v>
      </c>
      <c r="I480" s="22">
        <f t="shared" si="1073"/>
        <v>14285.714285714286</v>
      </c>
      <c r="J480" s="23">
        <f t="shared" si="1074"/>
        <v>18.999999999999993</v>
      </c>
      <c r="K480" s="22">
        <v>17000</v>
      </c>
      <c r="L480" s="5">
        <f>IF(I480="","",(K480)*$G$480)</f>
        <v>17000</v>
      </c>
      <c r="M480" s="411">
        <f t="shared" ref="M480" si="1118">IFERROR(AVERAGE(L480:L481),"")</f>
        <v>16500</v>
      </c>
      <c r="N480" s="411">
        <f t="shared" ref="N480" si="1119">IFERROR(HARMEAN(L480:L481),"")</f>
        <v>16484.848484848484</v>
      </c>
      <c r="O480" s="411">
        <f t="shared" ref="O480" si="1120">IFERROR(MEDIAN(L480:L481),"")</f>
        <v>16500</v>
      </c>
      <c r="P480" s="86">
        <f t="shared" si="1076"/>
        <v>17000</v>
      </c>
      <c r="Q480" s="413">
        <f t="shared" ref="Q480" si="1121">IFERROR(SUM(P480:P481)/COUNTA(K480:K481),"")</f>
        <v>16500</v>
      </c>
      <c r="R480" s="411">
        <f t="shared" ref="R480" si="1122">IFERROR(_xlfn.STDEV.S(L480:L481),"")</f>
        <v>707.10678118654755</v>
      </c>
      <c r="S480" s="415">
        <f t="shared" ref="S480" si="1123">IFERROR(R480/M480,"")</f>
        <v>4.2854956435548333E-2</v>
      </c>
      <c r="T480" s="405"/>
      <c r="U480" s="407">
        <f t="shared" si="1059"/>
        <v>16500</v>
      </c>
      <c r="V480" s="409"/>
    </row>
    <row r="481" spans="1:22" ht="45" customHeight="1" x14ac:dyDescent="0.3">
      <c r="A481" s="390"/>
      <c r="B481" s="392"/>
      <c r="C481" s="420"/>
      <c r="D481" s="420"/>
      <c r="E481" s="422"/>
      <c r="F481" s="422"/>
      <c r="G481" s="423"/>
      <c r="H481" s="53" t="s">
        <v>2066</v>
      </c>
      <c r="I481" s="22">
        <f t="shared" si="1073"/>
        <v>13445.378151260506</v>
      </c>
      <c r="J481" s="23">
        <f t="shared" si="1074"/>
        <v>18.999999999999989</v>
      </c>
      <c r="K481" s="22">
        <v>16000</v>
      </c>
      <c r="L481" s="5">
        <f>IF(I481="","",(K481)*$G$480)</f>
        <v>16000</v>
      </c>
      <c r="M481" s="412"/>
      <c r="N481" s="412"/>
      <c r="O481" s="412"/>
      <c r="P481" s="86">
        <f t="shared" si="1076"/>
        <v>16000</v>
      </c>
      <c r="Q481" s="414"/>
      <c r="R481" s="412"/>
      <c r="S481" s="416"/>
      <c r="T481" s="406"/>
      <c r="U481" s="408">
        <f t="shared" si="1059"/>
        <v>0</v>
      </c>
      <c r="V481" s="410"/>
    </row>
    <row r="482" spans="1:22" s="214" customFormat="1" ht="45" customHeight="1" x14ac:dyDescent="0.3">
      <c r="A482" s="389">
        <v>227</v>
      </c>
      <c r="B482" s="391">
        <v>121915</v>
      </c>
      <c r="C482" s="402" t="s">
        <v>2069</v>
      </c>
      <c r="D482" s="402" t="s">
        <v>2070</v>
      </c>
      <c r="E482" s="404" t="s">
        <v>617</v>
      </c>
      <c r="F482" s="404" t="s">
        <v>2071</v>
      </c>
      <c r="G482" s="404">
        <v>1</v>
      </c>
      <c r="H482" s="211" t="s">
        <v>2065</v>
      </c>
      <c r="I482" s="212">
        <f t="shared" si="1073"/>
        <v>30252.100840336137</v>
      </c>
      <c r="J482" s="210">
        <f t="shared" si="1074"/>
        <v>18.999999999999989</v>
      </c>
      <c r="K482" s="212">
        <v>36000</v>
      </c>
      <c r="L482" s="213">
        <f>IF(I482="","",(K482)*$G$482)</f>
        <v>36000</v>
      </c>
      <c r="M482" s="396">
        <f t="shared" ref="M482" si="1124">IFERROR(AVERAGE(L482:L483),"")</f>
        <v>22381.5</v>
      </c>
      <c r="N482" s="396">
        <f t="shared" ref="N482" si="1125">IFERROR(HARMEAN(L482:L483),"")</f>
        <v>14095.033844916561</v>
      </c>
      <c r="O482" s="396">
        <f t="shared" ref="O482" si="1126">IFERROR(MEDIAN(L482:L483),"")</f>
        <v>22381.5</v>
      </c>
      <c r="P482" s="135">
        <f t="shared" si="1076"/>
        <v>36000</v>
      </c>
      <c r="Q482" s="398">
        <f t="shared" ref="Q482" si="1127">IFERROR(SUM(P482:P483)/COUNTA(K482:K483),"")</f>
        <v>22381.5</v>
      </c>
      <c r="R482" s="396">
        <f t="shared" ref="R482" si="1128">IFERROR(_xlfn.STDEV.S(L482:L483),"")</f>
        <v>19259.467399177996</v>
      </c>
      <c r="S482" s="400">
        <f t="shared" ref="S482" si="1129">IFERROR(R482/M482,"")</f>
        <v>0.8605083394400731</v>
      </c>
      <c r="T482" s="383"/>
      <c r="U482" s="385">
        <f t="shared" si="1059"/>
        <v>22381.5</v>
      </c>
      <c r="V482" s="387"/>
    </row>
    <row r="483" spans="1:22" s="214" customFormat="1" ht="45" customHeight="1" x14ac:dyDescent="0.3">
      <c r="A483" s="390"/>
      <c r="B483" s="392"/>
      <c r="C483" s="403"/>
      <c r="D483" s="403"/>
      <c r="E483" s="275"/>
      <c r="F483" s="275"/>
      <c r="G483" s="275"/>
      <c r="H483" s="215" t="s">
        <v>2066</v>
      </c>
      <c r="I483" s="212">
        <f t="shared" si="1073"/>
        <v>7363.8655462184879</v>
      </c>
      <c r="J483" s="210">
        <f t="shared" si="1074"/>
        <v>18.999999999999993</v>
      </c>
      <c r="K483" s="212">
        <v>8763</v>
      </c>
      <c r="L483" s="213">
        <f>IF(I483="","",(K483)*$G$482)</f>
        <v>8763</v>
      </c>
      <c r="M483" s="397"/>
      <c r="N483" s="397"/>
      <c r="O483" s="397"/>
      <c r="P483" s="135">
        <f t="shared" si="1076"/>
        <v>8763</v>
      </c>
      <c r="Q483" s="399"/>
      <c r="R483" s="397"/>
      <c r="S483" s="401"/>
      <c r="T483" s="384"/>
      <c r="U483" s="386">
        <f t="shared" si="1059"/>
        <v>0</v>
      </c>
      <c r="V483" s="387"/>
    </row>
    <row r="484" spans="1:22" s="214" customFormat="1" ht="45" customHeight="1" x14ac:dyDescent="0.3">
      <c r="A484" s="389">
        <v>228</v>
      </c>
      <c r="B484" s="391">
        <v>121915</v>
      </c>
      <c r="C484" s="402" t="s">
        <v>2069</v>
      </c>
      <c r="D484" s="402" t="s">
        <v>2070</v>
      </c>
      <c r="E484" s="404" t="s">
        <v>70</v>
      </c>
      <c r="F484" s="404" t="s">
        <v>2072</v>
      </c>
      <c r="G484" s="404">
        <v>1</v>
      </c>
      <c r="H484" s="211" t="s">
        <v>2065</v>
      </c>
      <c r="I484" s="212">
        <f t="shared" si="1073"/>
        <v>4621.8487394957983</v>
      </c>
      <c r="J484" s="210">
        <f t="shared" si="1074"/>
        <v>19</v>
      </c>
      <c r="K484" s="212">
        <v>5500</v>
      </c>
      <c r="L484" s="213">
        <f>IF(I484="","",(K484)*$G$484)</f>
        <v>5500</v>
      </c>
      <c r="M484" s="396">
        <f t="shared" ref="M484" si="1130">IFERROR(AVERAGE(L484:L485),"")</f>
        <v>5200</v>
      </c>
      <c r="N484" s="396">
        <f t="shared" ref="N484" si="1131">IFERROR(HARMEAN(L484:L485),"")</f>
        <v>5182.6923076923076</v>
      </c>
      <c r="O484" s="396">
        <f t="shared" ref="O484" si="1132">IFERROR(MEDIAN(L484:L485),"")</f>
        <v>5200</v>
      </c>
      <c r="P484" s="135">
        <f t="shared" si="1076"/>
        <v>5500</v>
      </c>
      <c r="Q484" s="398">
        <f t="shared" ref="Q484" si="1133">IFERROR(SUM(P484:P485)/COUNTA(K484:K485),"")</f>
        <v>5200</v>
      </c>
      <c r="R484" s="396">
        <f t="shared" ref="R484" si="1134">IFERROR(_xlfn.STDEV.S(L484:L485),"")</f>
        <v>424.26406871192853</v>
      </c>
      <c r="S484" s="400">
        <f t="shared" ref="S484" si="1135">IFERROR(R484/M484,"")</f>
        <v>8.1589243983063178E-2</v>
      </c>
      <c r="T484" s="383"/>
      <c r="U484" s="385">
        <f t="shared" si="1059"/>
        <v>5200</v>
      </c>
      <c r="V484" s="387"/>
    </row>
    <row r="485" spans="1:22" s="214" customFormat="1" ht="45" customHeight="1" x14ac:dyDescent="0.3">
      <c r="A485" s="390"/>
      <c r="B485" s="392"/>
      <c r="C485" s="403"/>
      <c r="D485" s="403"/>
      <c r="E485" s="275"/>
      <c r="F485" s="275"/>
      <c r="G485" s="275"/>
      <c r="H485" s="216" t="s">
        <v>2066</v>
      </c>
      <c r="I485" s="212">
        <f t="shared" si="1073"/>
        <v>4117.6470588235297</v>
      </c>
      <c r="J485" s="210">
        <f t="shared" si="1074"/>
        <v>18.999999999999993</v>
      </c>
      <c r="K485" s="212">
        <v>4900</v>
      </c>
      <c r="L485" s="217">
        <f>IF(I485="","",(K485)*$G$484)</f>
        <v>4900</v>
      </c>
      <c r="M485" s="397"/>
      <c r="N485" s="397"/>
      <c r="O485" s="397"/>
      <c r="P485" s="135">
        <f t="shared" si="1076"/>
        <v>4900</v>
      </c>
      <c r="Q485" s="399"/>
      <c r="R485" s="397"/>
      <c r="S485" s="401"/>
      <c r="T485" s="384"/>
      <c r="U485" s="386">
        <f t="shared" si="1059"/>
        <v>0</v>
      </c>
      <c r="V485" s="388"/>
    </row>
    <row r="486" spans="1:22" ht="45" customHeight="1" x14ac:dyDescent="0.3">
      <c r="A486" s="389">
        <v>229</v>
      </c>
      <c r="B486" s="391">
        <v>31201635</v>
      </c>
      <c r="C486" s="393" t="s">
        <v>2073</v>
      </c>
      <c r="D486" s="393" t="s">
        <v>2074</v>
      </c>
      <c r="E486" s="394" t="s">
        <v>65</v>
      </c>
      <c r="F486" s="394" t="s">
        <v>104</v>
      </c>
      <c r="G486" s="395">
        <v>1</v>
      </c>
      <c r="H486" s="152" t="s">
        <v>2065</v>
      </c>
      <c r="I486" s="82">
        <f t="shared" si="1073"/>
        <v>74789.915966386558</v>
      </c>
      <c r="J486" s="83">
        <f t="shared" si="1074"/>
        <v>18.999999999999993</v>
      </c>
      <c r="K486" s="82">
        <v>89000</v>
      </c>
      <c r="L486" s="85">
        <f>IF(I486="","",(K486)*$G$486)</f>
        <v>89000</v>
      </c>
      <c r="M486" s="380">
        <f t="shared" ref="M486" si="1136">IFERROR(AVERAGE(L486:L487),"")</f>
        <v>88500</v>
      </c>
      <c r="N486" s="380">
        <f t="shared" ref="N486" si="1137">IFERROR(HARMEAN(L486:L487),"")</f>
        <v>88497.175141242929</v>
      </c>
      <c r="O486" s="380">
        <f t="shared" ref="O486" si="1138">IFERROR(MEDIAN(L486:L487),"")</f>
        <v>88500</v>
      </c>
      <c r="P486" s="87">
        <f t="shared" si="1076"/>
        <v>89000</v>
      </c>
      <c r="Q486" s="381">
        <f t="shared" ref="Q486" si="1139">IFERROR(SUM(P486:P487)/COUNTA(K486:K487),"")</f>
        <v>88500</v>
      </c>
      <c r="R486" s="380">
        <f t="shared" ref="R486" si="1140">IFERROR(_xlfn.STDEV.S(L486:L487),"")</f>
        <v>707.10678118654755</v>
      </c>
      <c r="S486" s="382">
        <f t="shared" ref="S486" si="1141">IFERROR(R486/M486,"")</f>
        <v>7.9899071320513847E-3</v>
      </c>
      <c r="T486" s="377"/>
      <c r="U486" s="378">
        <f>M486</f>
        <v>88500</v>
      </c>
      <c r="V486" s="379"/>
    </row>
    <row r="487" spans="1:22" ht="45" customHeight="1" x14ac:dyDescent="0.3">
      <c r="A487" s="390"/>
      <c r="B487" s="392"/>
      <c r="C487" s="393"/>
      <c r="D487" s="393"/>
      <c r="E487" s="394"/>
      <c r="F487" s="394"/>
      <c r="G487" s="395"/>
      <c r="H487" s="177" t="s">
        <v>2066</v>
      </c>
      <c r="I487" s="82">
        <f t="shared" si="1073"/>
        <v>73949.579831932773</v>
      </c>
      <c r="J487" s="83">
        <f t="shared" si="1074"/>
        <v>19</v>
      </c>
      <c r="K487" s="82">
        <v>88000</v>
      </c>
      <c r="L487" s="85">
        <f>IF(I487="","",(K487)*$G$486)</f>
        <v>88000</v>
      </c>
      <c r="M487" s="380"/>
      <c r="N487" s="380"/>
      <c r="O487" s="380"/>
      <c r="P487" s="87">
        <f t="shared" si="1076"/>
        <v>88000</v>
      </c>
      <c r="Q487" s="381"/>
      <c r="R487" s="380"/>
      <c r="S487" s="382"/>
      <c r="T487" s="377"/>
      <c r="U487" s="378">
        <f t="shared" si="1059"/>
        <v>0</v>
      </c>
      <c r="V487" s="379"/>
    </row>
    <row r="489" spans="1:22" x14ac:dyDescent="0.3">
      <c r="U489" s="59">
        <f>SUM(U5:U488)</f>
        <v>24793822.02166668</v>
      </c>
    </row>
    <row r="490" spans="1:22" x14ac:dyDescent="0.3">
      <c r="M490" s="59">
        <f>SUM(M5:M489)</f>
        <v>24793822.02166668</v>
      </c>
      <c r="N490" s="59"/>
      <c r="O490" s="59"/>
      <c r="P490" s="59"/>
      <c r="Q490" s="59"/>
      <c r="R490" s="59"/>
      <c r="S490" s="59"/>
      <c r="T490" s="59"/>
    </row>
  </sheetData>
  <mergeCells count="3469">
    <mergeCell ref="M454:M456"/>
    <mergeCell ref="N454:N456"/>
    <mergeCell ref="O454:O456"/>
    <mergeCell ref="Q454:Q456"/>
    <mergeCell ref="U454:U456"/>
    <mergeCell ref="M457:M458"/>
    <mergeCell ref="N457:N458"/>
    <mergeCell ref="O457:O458"/>
    <mergeCell ref="Q457:Q458"/>
    <mergeCell ref="U457:U458"/>
    <mergeCell ref="M459:M460"/>
    <mergeCell ref="N459:N460"/>
    <mergeCell ref="O459:O460"/>
    <mergeCell ref="Q459:Q460"/>
    <mergeCell ref="U459:U460"/>
    <mergeCell ref="M461:M463"/>
    <mergeCell ref="N461:N463"/>
    <mergeCell ref="O461:O463"/>
    <mergeCell ref="Q461:Q463"/>
    <mergeCell ref="U461:U463"/>
    <mergeCell ref="T462:T463"/>
    <mergeCell ref="V1:V2"/>
    <mergeCell ref="A3:A4"/>
    <mergeCell ref="B3:B4"/>
    <mergeCell ref="C3:C4"/>
    <mergeCell ref="D3:D4"/>
    <mergeCell ref="E3:E4"/>
    <mergeCell ref="F3:F4"/>
    <mergeCell ref="G3:G4"/>
    <mergeCell ref="H3:H4"/>
    <mergeCell ref="A1:B2"/>
    <mergeCell ref="C1:G2"/>
    <mergeCell ref="H1:L2"/>
    <mergeCell ref="M1:R2"/>
    <mergeCell ref="S1:S2"/>
    <mergeCell ref="T1:T2"/>
    <mergeCell ref="U3:U4"/>
    <mergeCell ref="V3:V4"/>
    <mergeCell ref="E5:E6"/>
    <mergeCell ref="F5:F6"/>
    <mergeCell ref="M5:M6"/>
    <mergeCell ref="N5:N6"/>
    <mergeCell ref="O3:O4"/>
    <mergeCell ref="P3:P4"/>
    <mergeCell ref="Q3:Q4"/>
    <mergeCell ref="R3:R4"/>
    <mergeCell ref="S3:S4"/>
    <mergeCell ref="T3:T4"/>
    <mergeCell ref="I3:I4"/>
    <mergeCell ref="J3:J4"/>
    <mergeCell ref="K3:K4"/>
    <mergeCell ref="L3:L4"/>
    <mergeCell ref="M3:M4"/>
    <mergeCell ref="N3:N4"/>
    <mergeCell ref="U1:U2"/>
    <mergeCell ref="A9:A10"/>
    <mergeCell ref="B9:B10"/>
    <mergeCell ref="C9:C10"/>
    <mergeCell ref="D9:D10"/>
    <mergeCell ref="E9:E10"/>
    <mergeCell ref="F9:F10"/>
    <mergeCell ref="Q7:Q8"/>
    <mergeCell ref="R7:R8"/>
    <mergeCell ref="S7:S8"/>
    <mergeCell ref="T7:T8"/>
    <mergeCell ref="U7:U8"/>
    <mergeCell ref="V7:V8"/>
    <mergeCell ref="V5:V6"/>
    <mergeCell ref="A7:A8"/>
    <mergeCell ref="B7:B8"/>
    <mergeCell ref="C7:C8"/>
    <mergeCell ref="D7:D8"/>
    <mergeCell ref="E7:E8"/>
    <mergeCell ref="F7:F8"/>
    <mergeCell ref="M7:M8"/>
    <mergeCell ref="N7:N8"/>
    <mergeCell ref="O7:O8"/>
    <mergeCell ref="O5:O6"/>
    <mergeCell ref="Q5:Q6"/>
    <mergeCell ref="R5:R6"/>
    <mergeCell ref="S5:S6"/>
    <mergeCell ref="T5:T6"/>
    <mergeCell ref="U5:U6"/>
    <mergeCell ref="A5:A6"/>
    <mergeCell ref="B5:B6"/>
    <mergeCell ref="C5:C6"/>
    <mergeCell ref="D5:D6"/>
    <mergeCell ref="U11:U12"/>
    <mergeCell ref="V11:V12"/>
    <mergeCell ref="A13:A14"/>
    <mergeCell ref="B13:B14"/>
    <mergeCell ref="C13:C14"/>
    <mergeCell ref="D13:D14"/>
    <mergeCell ref="E13:E14"/>
    <mergeCell ref="F13:F14"/>
    <mergeCell ref="M13:M14"/>
    <mergeCell ref="N13:N14"/>
    <mergeCell ref="N11:N12"/>
    <mergeCell ref="O11:O12"/>
    <mergeCell ref="Q11:Q12"/>
    <mergeCell ref="R11:R12"/>
    <mergeCell ref="S11:S12"/>
    <mergeCell ref="T11:T12"/>
    <mergeCell ref="T9:T10"/>
    <mergeCell ref="U9:U10"/>
    <mergeCell ref="V9:V10"/>
    <mergeCell ref="A11:A12"/>
    <mergeCell ref="B11:B12"/>
    <mergeCell ref="C11:C12"/>
    <mergeCell ref="D11:D12"/>
    <mergeCell ref="E11:E12"/>
    <mergeCell ref="F11:F12"/>
    <mergeCell ref="M11:M12"/>
    <mergeCell ref="M9:M10"/>
    <mergeCell ref="N9:N10"/>
    <mergeCell ref="O9:O10"/>
    <mergeCell ref="Q9:Q10"/>
    <mergeCell ref="R9:R10"/>
    <mergeCell ref="S9:S10"/>
    <mergeCell ref="A17:A18"/>
    <mergeCell ref="B17:B18"/>
    <mergeCell ref="C17:C18"/>
    <mergeCell ref="D17:D18"/>
    <mergeCell ref="E17:E18"/>
    <mergeCell ref="F17:F18"/>
    <mergeCell ref="Q15:Q16"/>
    <mergeCell ref="R15:R16"/>
    <mergeCell ref="S15:S16"/>
    <mergeCell ref="T15:T16"/>
    <mergeCell ref="U15:U16"/>
    <mergeCell ref="V15:V16"/>
    <mergeCell ref="V13:V14"/>
    <mergeCell ref="A15:A16"/>
    <mergeCell ref="B15:B16"/>
    <mergeCell ref="C15:C16"/>
    <mergeCell ref="D15:D16"/>
    <mergeCell ref="E15:E16"/>
    <mergeCell ref="F15:F16"/>
    <mergeCell ref="M15:M16"/>
    <mergeCell ref="N15:N16"/>
    <mergeCell ref="O15:O16"/>
    <mergeCell ref="O13:O14"/>
    <mergeCell ref="Q13:Q14"/>
    <mergeCell ref="R13:R14"/>
    <mergeCell ref="S13:S14"/>
    <mergeCell ref="T13:T14"/>
    <mergeCell ref="U13:U14"/>
    <mergeCell ref="U19:U20"/>
    <mergeCell ref="V19:V20"/>
    <mergeCell ref="A21:A23"/>
    <mergeCell ref="B21:B23"/>
    <mergeCell ref="C21:C23"/>
    <mergeCell ref="D21:D23"/>
    <mergeCell ref="E21:E23"/>
    <mergeCell ref="F21:F23"/>
    <mergeCell ref="M21:M23"/>
    <mergeCell ref="N21:N23"/>
    <mergeCell ref="N19:N20"/>
    <mergeCell ref="O19:O20"/>
    <mergeCell ref="Q19:Q20"/>
    <mergeCell ref="R19:R20"/>
    <mergeCell ref="S19:S20"/>
    <mergeCell ref="T19:T20"/>
    <mergeCell ref="T17:T18"/>
    <mergeCell ref="U17:U18"/>
    <mergeCell ref="V17:V18"/>
    <mergeCell ref="A19:A20"/>
    <mergeCell ref="B19:B20"/>
    <mergeCell ref="C19:C20"/>
    <mergeCell ref="D19:D20"/>
    <mergeCell ref="E19:E20"/>
    <mergeCell ref="F19:F20"/>
    <mergeCell ref="M19:M20"/>
    <mergeCell ref="M17:M18"/>
    <mergeCell ref="N17:N18"/>
    <mergeCell ref="O17:O18"/>
    <mergeCell ref="Q17:Q18"/>
    <mergeCell ref="R17:R18"/>
    <mergeCell ref="S17:S18"/>
    <mergeCell ref="A26:A27"/>
    <mergeCell ref="B26:B27"/>
    <mergeCell ref="C26:C27"/>
    <mergeCell ref="D26:D27"/>
    <mergeCell ref="E26:E27"/>
    <mergeCell ref="F26:F27"/>
    <mergeCell ref="Q24:Q25"/>
    <mergeCell ref="R24:R25"/>
    <mergeCell ref="S24:S25"/>
    <mergeCell ref="T24:T25"/>
    <mergeCell ref="U24:U25"/>
    <mergeCell ref="V24:V25"/>
    <mergeCell ref="V21:V23"/>
    <mergeCell ref="A24:A25"/>
    <mergeCell ref="B24:B25"/>
    <mergeCell ref="C24:C25"/>
    <mergeCell ref="D24:D25"/>
    <mergeCell ref="E24:E25"/>
    <mergeCell ref="F24:F25"/>
    <mergeCell ref="M24:M25"/>
    <mergeCell ref="N24:N25"/>
    <mergeCell ref="O24:O25"/>
    <mergeCell ref="O21:O23"/>
    <mergeCell ref="Q21:Q23"/>
    <mergeCell ref="R21:R23"/>
    <mergeCell ref="S21:S23"/>
    <mergeCell ref="T21:T23"/>
    <mergeCell ref="U21:U23"/>
    <mergeCell ref="U28:U29"/>
    <mergeCell ref="V28:V29"/>
    <mergeCell ref="A30:A31"/>
    <mergeCell ref="B30:B31"/>
    <mergeCell ref="C30:C31"/>
    <mergeCell ref="D30:D31"/>
    <mergeCell ref="E30:E31"/>
    <mergeCell ref="F30:F31"/>
    <mergeCell ref="M30:M31"/>
    <mergeCell ref="N30:N31"/>
    <mergeCell ref="N28:N29"/>
    <mergeCell ref="O28:O29"/>
    <mergeCell ref="Q28:Q29"/>
    <mergeCell ref="R28:R29"/>
    <mergeCell ref="S28:S29"/>
    <mergeCell ref="T28:T29"/>
    <mergeCell ref="T26:T27"/>
    <mergeCell ref="U26:U27"/>
    <mergeCell ref="V26:V27"/>
    <mergeCell ref="A28:A29"/>
    <mergeCell ref="B28:B29"/>
    <mergeCell ref="C28:C29"/>
    <mergeCell ref="D28:D29"/>
    <mergeCell ref="E28:E29"/>
    <mergeCell ref="F28:F29"/>
    <mergeCell ref="M28:M29"/>
    <mergeCell ref="M26:M27"/>
    <mergeCell ref="N26:N27"/>
    <mergeCell ref="O26:O27"/>
    <mergeCell ref="Q26:Q27"/>
    <mergeCell ref="R26:R27"/>
    <mergeCell ref="S26:S27"/>
    <mergeCell ref="A34:A35"/>
    <mergeCell ref="B34:B35"/>
    <mergeCell ref="C34:C35"/>
    <mergeCell ref="D34:D35"/>
    <mergeCell ref="E34:E35"/>
    <mergeCell ref="F34:F35"/>
    <mergeCell ref="Q32:Q33"/>
    <mergeCell ref="R32:R33"/>
    <mergeCell ref="S32:S33"/>
    <mergeCell ref="T32:T33"/>
    <mergeCell ref="U32:U33"/>
    <mergeCell ref="V32:V33"/>
    <mergeCell ref="V30:V31"/>
    <mergeCell ref="A32:A33"/>
    <mergeCell ref="B32:B33"/>
    <mergeCell ref="C32:C33"/>
    <mergeCell ref="D32:D33"/>
    <mergeCell ref="E32:E33"/>
    <mergeCell ref="F32:F33"/>
    <mergeCell ref="M32:M33"/>
    <mergeCell ref="N32:N33"/>
    <mergeCell ref="O32:O33"/>
    <mergeCell ref="O30:O31"/>
    <mergeCell ref="Q30:Q31"/>
    <mergeCell ref="R30:R31"/>
    <mergeCell ref="S30:S31"/>
    <mergeCell ref="T30:T31"/>
    <mergeCell ref="U30:U31"/>
    <mergeCell ref="U36:U37"/>
    <mergeCell ref="V36:V37"/>
    <mergeCell ref="A38:A39"/>
    <mergeCell ref="B38:B39"/>
    <mergeCell ref="C38:C39"/>
    <mergeCell ref="D38:D39"/>
    <mergeCell ref="E38:E39"/>
    <mergeCell ref="F38:F39"/>
    <mergeCell ref="M38:M39"/>
    <mergeCell ref="N38:N39"/>
    <mergeCell ref="N36:N37"/>
    <mergeCell ref="O36:O37"/>
    <mergeCell ref="Q36:Q37"/>
    <mergeCell ref="R36:R37"/>
    <mergeCell ref="S36:S37"/>
    <mergeCell ref="T36:T37"/>
    <mergeCell ref="T34:T35"/>
    <mergeCell ref="U34:U35"/>
    <mergeCell ref="V34:V35"/>
    <mergeCell ref="A36:A37"/>
    <mergeCell ref="B36:B37"/>
    <mergeCell ref="C36:C37"/>
    <mergeCell ref="D36:D37"/>
    <mergeCell ref="E36:E37"/>
    <mergeCell ref="F36:F37"/>
    <mergeCell ref="M36:M37"/>
    <mergeCell ref="M34:M35"/>
    <mergeCell ref="N34:N35"/>
    <mergeCell ref="O34:O35"/>
    <mergeCell ref="Q34:Q35"/>
    <mergeCell ref="R34:R35"/>
    <mergeCell ref="S34:S35"/>
    <mergeCell ref="A42:A43"/>
    <mergeCell ref="B42:B43"/>
    <mergeCell ref="C42:C43"/>
    <mergeCell ref="D42:D43"/>
    <mergeCell ref="E42:E43"/>
    <mergeCell ref="F42:F43"/>
    <mergeCell ref="Q40:Q41"/>
    <mergeCell ref="R40:R41"/>
    <mergeCell ref="S40:S41"/>
    <mergeCell ref="T40:T41"/>
    <mergeCell ref="U40:U41"/>
    <mergeCell ref="V40:V41"/>
    <mergeCell ref="V38:V39"/>
    <mergeCell ref="A40:A41"/>
    <mergeCell ref="B40:B41"/>
    <mergeCell ref="C40:C41"/>
    <mergeCell ref="D40:D41"/>
    <mergeCell ref="E40:E41"/>
    <mergeCell ref="F40:F41"/>
    <mergeCell ref="M40:M41"/>
    <mergeCell ref="N40:N41"/>
    <mergeCell ref="O40:O41"/>
    <mergeCell ref="O38:O39"/>
    <mergeCell ref="Q38:Q39"/>
    <mergeCell ref="R38:R39"/>
    <mergeCell ref="S38:S39"/>
    <mergeCell ref="T38:T39"/>
    <mergeCell ref="U38:U39"/>
    <mergeCell ref="U44:U45"/>
    <mergeCell ref="V44:V45"/>
    <mergeCell ref="A46:A47"/>
    <mergeCell ref="B46:B47"/>
    <mergeCell ref="C46:C47"/>
    <mergeCell ref="D46:D47"/>
    <mergeCell ref="E46:E47"/>
    <mergeCell ref="F46:F47"/>
    <mergeCell ref="M46:M47"/>
    <mergeCell ref="N46:N47"/>
    <mergeCell ref="N44:N45"/>
    <mergeCell ref="O44:O45"/>
    <mergeCell ref="Q44:Q45"/>
    <mergeCell ref="R44:R45"/>
    <mergeCell ref="S44:S45"/>
    <mergeCell ref="T44:T45"/>
    <mergeCell ref="T42:T43"/>
    <mergeCell ref="U42:U43"/>
    <mergeCell ref="V42:V43"/>
    <mergeCell ref="A44:A45"/>
    <mergeCell ref="B44:B45"/>
    <mergeCell ref="C44:C45"/>
    <mergeCell ref="D44:D45"/>
    <mergeCell ref="E44:E45"/>
    <mergeCell ref="F44:F45"/>
    <mergeCell ref="M44:M45"/>
    <mergeCell ref="M42:M43"/>
    <mergeCell ref="N42:N43"/>
    <mergeCell ref="O42:O43"/>
    <mergeCell ref="Q42:Q43"/>
    <mergeCell ref="R42:R43"/>
    <mergeCell ref="S42:S43"/>
    <mergeCell ref="A50:A51"/>
    <mergeCell ref="B50:B51"/>
    <mergeCell ref="C50:C51"/>
    <mergeCell ref="D50:D51"/>
    <mergeCell ref="E50:E51"/>
    <mergeCell ref="F50:F51"/>
    <mergeCell ref="Q48:Q49"/>
    <mergeCell ref="R48:R49"/>
    <mergeCell ref="S48:S49"/>
    <mergeCell ref="T48:T49"/>
    <mergeCell ref="U48:U49"/>
    <mergeCell ref="V48:V49"/>
    <mergeCell ref="V46:V47"/>
    <mergeCell ref="A48:A49"/>
    <mergeCell ref="B48:B49"/>
    <mergeCell ref="C48:C49"/>
    <mergeCell ref="D48:D49"/>
    <mergeCell ref="E48:E49"/>
    <mergeCell ref="F48:F49"/>
    <mergeCell ref="M48:M49"/>
    <mergeCell ref="N48:N49"/>
    <mergeCell ref="O48:O49"/>
    <mergeCell ref="O46:O47"/>
    <mergeCell ref="Q46:Q47"/>
    <mergeCell ref="R46:R47"/>
    <mergeCell ref="S46:S47"/>
    <mergeCell ref="T46:T47"/>
    <mergeCell ref="U46:U47"/>
    <mergeCell ref="U52:U53"/>
    <mergeCell ref="V52:V53"/>
    <mergeCell ref="A54:A55"/>
    <mergeCell ref="B54:B55"/>
    <mergeCell ref="C54:C55"/>
    <mergeCell ref="D54:D55"/>
    <mergeCell ref="E54:E55"/>
    <mergeCell ref="F54:F55"/>
    <mergeCell ref="M54:M55"/>
    <mergeCell ref="N54:N55"/>
    <mergeCell ref="N52:N53"/>
    <mergeCell ref="O52:O53"/>
    <mergeCell ref="Q52:Q53"/>
    <mergeCell ref="R52:R53"/>
    <mergeCell ref="S52:S53"/>
    <mergeCell ref="T52:T53"/>
    <mergeCell ref="T50:T51"/>
    <mergeCell ref="U50:U51"/>
    <mergeCell ref="V50:V51"/>
    <mergeCell ref="A52:A53"/>
    <mergeCell ref="B52:B53"/>
    <mergeCell ref="C52:C53"/>
    <mergeCell ref="D52:D53"/>
    <mergeCell ref="E52:E53"/>
    <mergeCell ref="F52:F53"/>
    <mergeCell ref="M52:M53"/>
    <mergeCell ref="M50:M51"/>
    <mergeCell ref="N50:N51"/>
    <mergeCell ref="O50:O51"/>
    <mergeCell ref="Q50:Q51"/>
    <mergeCell ref="R50:R51"/>
    <mergeCell ref="S50:S51"/>
    <mergeCell ref="A58:A59"/>
    <mergeCell ref="B58:B59"/>
    <mergeCell ref="C58:C59"/>
    <mergeCell ref="D58:D59"/>
    <mergeCell ref="E58:E59"/>
    <mergeCell ref="F58:F59"/>
    <mergeCell ref="Q56:Q57"/>
    <mergeCell ref="R56:R57"/>
    <mergeCell ref="S56:S57"/>
    <mergeCell ref="T56:T57"/>
    <mergeCell ref="U56:U57"/>
    <mergeCell ref="V56:V57"/>
    <mergeCell ref="V54:V55"/>
    <mergeCell ref="A56:A57"/>
    <mergeCell ref="B56:B57"/>
    <mergeCell ref="C56:C57"/>
    <mergeCell ref="D56:D57"/>
    <mergeCell ref="E56:E57"/>
    <mergeCell ref="F56:F57"/>
    <mergeCell ref="M56:M57"/>
    <mergeCell ref="N56:N57"/>
    <mergeCell ref="O56:O57"/>
    <mergeCell ref="O54:O55"/>
    <mergeCell ref="Q54:Q55"/>
    <mergeCell ref="R54:R55"/>
    <mergeCell ref="S54:S55"/>
    <mergeCell ref="T54:T55"/>
    <mergeCell ref="U54:U55"/>
    <mergeCell ref="U60:U61"/>
    <mergeCell ref="V60:V61"/>
    <mergeCell ref="A62:A63"/>
    <mergeCell ref="B62:B63"/>
    <mergeCell ref="C62:C63"/>
    <mergeCell ref="D62:D63"/>
    <mergeCell ref="E62:E63"/>
    <mergeCell ref="F62:F63"/>
    <mergeCell ref="M62:M63"/>
    <mergeCell ref="N62:N63"/>
    <mergeCell ref="N60:N61"/>
    <mergeCell ref="O60:O61"/>
    <mergeCell ref="Q60:Q61"/>
    <mergeCell ref="R60:R61"/>
    <mergeCell ref="S60:S61"/>
    <mergeCell ref="T60:T61"/>
    <mergeCell ref="T58:T59"/>
    <mergeCell ref="U58:U59"/>
    <mergeCell ref="V58:V59"/>
    <mergeCell ref="A60:A61"/>
    <mergeCell ref="B60:B61"/>
    <mergeCell ref="C60:C61"/>
    <mergeCell ref="D60:D61"/>
    <mergeCell ref="E60:E61"/>
    <mergeCell ref="F60:F61"/>
    <mergeCell ref="M60:M61"/>
    <mergeCell ref="M58:M59"/>
    <mergeCell ref="N58:N59"/>
    <mergeCell ref="O58:O59"/>
    <mergeCell ref="Q58:Q59"/>
    <mergeCell ref="R58:R59"/>
    <mergeCell ref="S58:S59"/>
    <mergeCell ref="A66:A67"/>
    <mergeCell ref="B66:B67"/>
    <mergeCell ref="C66:C67"/>
    <mergeCell ref="D66:D67"/>
    <mergeCell ref="E66:E67"/>
    <mergeCell ref="F66:F67"/>
    <mergeCell ref="Q64:Q65"/>
    <mergeCell ref="R64:R65"/>
    <mergeCell ref="S64:S65"/>
    <mergeCell ref="T64:T65"/>
    <mergeCell ref="U64:U65"/>
    <mergeCell ref="V64:V65"/>
    <mergeCell ref="V62:V63"/>
    <mergeCell ref="A64:A65"/>
    <mergeCell ref="B64:B65"/>
    <mergeCell ref="C64:C65"/>
    <mergeCell ref="D64:D65"/>
    <mergeCell ref="E64:E65"/>
    <mergeCell ref="F64:F65"/>
    <mergeCell ref="M64:M65"/>
    <mergeCell ref="N64:N65"/>
    <mergeCell ref="O64:O65"/>
    <mergeCell ref="O62:O63"/>
    <mergeCell ref="Q62:Q63"/>
    <mergeCell ref="R62:R63"/>
    <mergeCell ref="S62:S63"/>
    <mergeCell ref="T62:T63"/>
    <mergeCell ref="U62:U63"/>
    <mergeCell ref="U68:U69"/>
    <mergeCell ref="V68:V69"/>
    <mergeCell ref="A70:A71"/>
    <mergeCell ref="B70:B71"/>
    <mergeCell ref="C70:C71"/>
    <mergeCell ref="D70:D71"/>
    <mergeCell ref="E70:E71"/>
    <mergeCell ref="F70:F71"/>
    <mergeCell ref="M70:M71"/>
    <mergeCell ref="N70:N71"/>
    <mergeCell ref="N68:N69"/>
    <mergeCell ref="O68:O69"/>
    <mergeCell ref="Q68:Q69"/>
    <mergeCell ref="R68:R69"/>
    <mergeCell ref="S68:S69"/>
    <mergeCell ref="T68:T69"/>
    <mergeCell ref="T66:T67"/>
    <mergeCell ref="U66:U67"/>
    <mergeCell ref="V66:V67"/>
    <mergeCell ref="A68:A69"/>
    <mergeCell ref="B68:B69"/>
    <mergeCell ref="C68:C69"/>
    <mergeCell ref="D68:D69"/>
    <mergeCell ref="E68:E69"/>
    <mergeCell ref="F68:F69"/>
    <mergeCell ref="M68:M69"/>
    <mergeCell ref="M66:M67"/>
    <mergeCell ref="N66:N67"/>
    <mergeCell ref="O66:O67"/>
    <mergeCell ref="Q66:Q67"/>
    <mergeCell ref="R66:R67"/>
    <mergeCell ref="S66:S67"/>
    <mergeCell ref="A74:A75"/>
    <mergeCell ref="B74:B75"/>
    <mergeCell ref="C74:C75"/>
    <mergeCell ref="D74:D75"/>
    <mergeCell ref="E74:E75"/>
    <mergeCell ref="F74:F75"/>
    <mergeCell ref="Q72:Q73"/>
    <mergeCell ref="R72:R73"/>
    <mergeCell ref="S72:S73"/>
    <mergeCell ref="T72:T73"/>
    <mergeCell ref="U72:U73"/>
    <mergeCell ref="V72:V73"/>
    <mergeCell ref="V70:V71"/>
    <mergeCell ref="A72:A73"/>
    <mergeCell ref="B72:B73"/>
    <mergeCell ref="C72:C73"/>
    <mergeCell ref="D72:D73"/>
    <mergeCell ref="E72:E73"/>
    <mergeCell ref="F72:F73"/>
    <mergeCell ref="M72:M73"/>
    <mergeCell ref="N72:N73"/>
    <mergeCell ref="O72:O73"/>
    <mergeCell ref="O70:O71"/>
    <mergeCell ref="Q70:Q71"/>
    <mergeCell ref="R70:R71"/>
    <mergeCell ref="S70:S71"/>
    <mergeCell ref="T70:T71"/>
    <mergeCell ref="U70:U71"/>
    <mergeCell ref="U76:U77"/>
    <mergeCell ref="V76:V77"/>
    <mergeCell ref="A78:A79"/>
    <mergeCell ref="B78:B79"/>
    <mergeCell ref="C78:C79"/>
    <mergeCell ref="D78:D79"/>
    <mergeCell ref="E78:E79"/>
    <mergeCell ref="F78:F79"/>
    <mergeCell ref="M78:M79"/>
    <mergeCell ref="N78:N79"/>
    <mergeCell ref="N76:N77"/>
    <mergeCell ref="O76:O77"/>
    <mergeCell ref="Q76:Q77"/>
    <mergeCell ref="R76:R77"/>
    <mergeCell ref="S76:S77"/>
    <mergeCell ref="T76:T77"/>
    <mergeCell ref="T74:T75"/>
    <mergeCell ref="U74:U75"/>
    <mergeCell ref="V74:V75"/>
    <mergeCell ref="A76:A77"/>
    <mergeCell ref="B76:B77"/>
    <mergeCell ref="C76:C77"/>
    <mergeCell ref="D76:D77"/>
    <mergeCell ref="E76:E77"/>
    <mergeCell ref="F76:F77"/>
    <mergeCell ref="M76:M77"/>
    <mergeCell ref="M74:M75"/>
    <mergeCell ref="N74:N75"/>
    <mergeCell ref="O74:O75"/>
    <mergeCell ref="Q74:Q75"/>
    <mergeCell ref="R74:R75"/>
    <mergeCell ref="S74:S75"/>
    <mergeCell ref="A82:A83"/>
    <mergeCell ref="B82:B83"/>
    <mergeCell ref="C82:C83"/>
    <mergeCell ref="D82:D83"/>
    <mergeCell ref="E82:E83"/>
    <mergeCell ref="F82:F83"/>
    <mergeCell ref="Q80:Q81"/>
    <mergeCell ref="R80:R81"/>
    <mergeCell ref="S80:S81"/>
    <mergeCell ref="T80:T81"/>
    <mergeCell ref="U80:U81"/>
    <mergeCell ref="V80:V81"/>
    <mergeCell ref="V78:V79"/>
    <mergeCell ref="A80:A81"/>
    <mergeCell ref="B80:B81"/>
    <mergeCell ref="C80:C81"/>
    <mergeCell ref="D80:D81"/>
    <mergeCell ref="E80:E81"/>
    <mergeCell ref="F80:F81"/>
    <mergeCell ref="M80:M81"/>
    <mergeCell ref="N80:N81"/>
    <mergeCell ref="O80:O81"/>
    <mergeCell ref="O78:O79"/>
    <mergeCell ref="Q78:Q79"/>
    <mergeCell ref="R78:R79"/>
    <mergeCell ref="S78:S79"/>
    <mergeCell ref="T78:T79"/>
    <mergeCell ref="U78:U79"/>
    <mergeCell ref="U84:U85"/>
    <mergeCell ref="V84:V85"/>
    <mergeCell ref="A86:A87"/>
    <mergeCell ref="B86:B87"/>
    <mergeCell ref="C86:C87"/>
    <mergeCell ref="D86:D87"/>
    <mergeCell ref="E86:E87"/>
    <mergeCell ref="F86:F87"/>
    <mergeCell ref="M86:M87"/>
    <mergeCell ref="N86:N87"/>
    <mergeCell ref="N84:N85"/>
    <mergeCell ref="O84:O85"/>
    <mergeCell ref="Q84:Q85"/>
    <mergeCell ref="R84:R85"/>
    <mergeCell ref="S84:S85"/>
    <mergeCell ref="T84:T85"/>
    <mergeCell ref="T82:T83"/>
    <mergeCell ref="U82:U83"/>
    <mergeCell ref="V82:V83"/>
    <mergeCell ref="A84:A85"/>
    <mergeCell ref="B84:B85"/>
    <mergeCell ref="C84:C85"/>
    <mergeCell ref="D84:D85"/>
    <mergeCell ref="E84:E85"/>
    <mergeCell ref="F84:F85"/>
    <mergeCell ref="M84:M85"/>
    <mergeCell ref="M82:M83"/>
    <mergeCell ref="N82:N83"/>
    <mergeCell ref="O82:O83"/>
    <mergeCell ref="Q82:Q83"/>
    <mergeCell ref="R82:R83"/>
    <mergeCell ref="S82:S83"/>
    <mergeCell ref="A90:A91"/>
    <mergeCell ref="B90:B91"/>
    <mergeCell ref="C90:C91"/>
    <mergeCell ref="D90:D91"/>
    <mergeCell ref="E90:E91"/>
    <mergeCell ref="F90:F91"/>
    <mergeCell ref="Q88:Q89"/>
    <mergeCell ref="R88:R89"/>
    <mergeCell ref="S88:S89"/>
    <mergeCell ref="T88:T89"/>
    <mergeCell ref="U88:U89"/>
    <mergeCell ref="V88:V89"/>
    <mergeCell ref="V86:V87"/>
    <mergeCell ref="A88:A89"/>
    <mergeCell ref="B88:B89"/>
    <mergeCell ref="C88:C89"/>
    <mergeCell ref="D88:D89"/>
    <mergeCell ref="E88:E89"/>
    <mergeCell ref="F88:F89"/>
    <mergeCell ref="M88:M89"/>
    <mergeCell ref="N88:N89"/>
    <mergeCell ref="O88:O89"/>
    <mergeCell ref="O86:O87"/>
    <mergeCell ref="Q86:Q87"/>
    <mergeCell ref="R86:R87"/>
    <mergeCell ref="S86:S87"/>
    <mergeCell ref="T86:T87"/>
    <mergeCell ref="U86:U87"/>
    <mergeCell ref="U92:U93"/>
    <mergeCell ref="V92:V93"/>
    <mergeCell ref="A94:A95"/>
    <mergeCell ref="B94:B95"/>
    <mergeCell ref="C94:C95"/>
    <mergeCell ref="D94:D95"/>
    <mergeCell ref="E94:E95"/>
    <mergeCell ref="F94:F95"/>
    <mergeCell ref="M94:M95"/>
    <mergeCell ref="N94:N95"/>
    <mergeCell ref="N92:N93"/>
    <mergeCell ref="O92:O93"/>
    <mergeCell ref="Q92:Q93"/>
    <mergeCell ref="R92:R93"/>
    <mergeCell ref="S92:S93"/>
    <mergeCell ref="T92:T93"/>
    <mergeCell ref="T90:T91"/>
    <mergeCell ref="U90:U91"/>
    <mergeCell ref="V90:V91"/>
    <mergeCell ref="A92:A93"/>
    <mergeCell ref="B92:B93"/>
    <mergeCell ref="C92:C93"/>
    <mergeCell ref="D92:D93"/>
    <mergeCell ref="E92:E93"/>
    <mergeCell ref="F92:F93"/>
    <mergeCell ref="M92:M93"/>
    <mergeCell ref="M90:M91"/>
    <mergeCell ref="N90:N91"/>
    <mergeCell ref="O90:O91"/>
    <mergeCell ref="Q90:Q91"/>
    <mergeCell ref="R90:R91"/>
    <mergeCell ref="S90:S91"/>
    <mergeCell ref="A98:A99"/>
    <mergeCell ref="B98:B99"/>
    <mergeCell ref="C98:C99"/>
    <mergeCell ref="D98:D99"/>
    <mergeCell ref="E98:E99"/>
    <mergeCell ref="F98:F99"/>
    <mergeCell ref="Q96:Q97"/>
    <mergeCell ref="R96:R97"/>
    <mergeCell ref="S96:S97"/>
    <mergeCell ref="T96:T97"/>
    <mergeCell ref="U96:U97"/>
    <mergeCell ref="V96:V97"/>
    <mergeCell ref="V94:V95"/>
    <mergeCell ref="A96:A97"/>
    <mergeCell ref="B96:B97"/>
    <mergeCell ref="C96:C97"/>
    <mergeCell ref="D96:D97"/>
    <mergeCell ref="E96:E97"/>
    <mergeCell ref="F96:F97"/>
    <mergeCell ref="M96:M97"/>
    <mergeCell ref="N96:N97"/>
    <mergeCell ref="O96:O97"/>
    <mergeCell ref="O94:O95"/>
    <mergeCell ref="Q94:Q95"/>
    <mergeCell ref="R94:R95"/>
    <mergeCell ref="S94:S95"/>
    <mergeCell ref="T94:T95"/>
    <mergeCell ref="U94:U95"/>
    <mergeCell ref="U100:U101"/>
    <mergeCell ref="V100:V101"/>
    <mergeCell ref="A102:A103"/>
    <mergeCell ref="B102:B103"/>
    <mergeCell ref="C102:C103"/>
    <mergeCell ref="D102:D103"/>
    <mergeCell ref="E102:E103"/>
    <mergeCell ref="F102:F103"/>
    <mergeCell ref="M102:M103"/>
    <mergeCell ref="N102:N103"/>
    <mergeCell ref="N100:N101"/>
    <mergeCell ref="O100:O101"/>
    <mergeCell ref="Q100:Q101"/>
    <mergeCell ref="R100:R101"/>
    <mergeCell ref="S100:S101"/>
    <mergeCell ref="T100:T101"/>
    <mergeCell ref="T98:T99"/>
    <mergeCell ref="U98:U99"/>
    <mergeCell ref="V98:V99"/>
    <mergeCell ref="A100:A101"/>
    <mergeCell ref="B100:B101"/>
    <mergeCell ref="C100:C101"/>
    <mergeCell ref="D100:D101"/>
    <mergeCell ref="E100:E101"/>
    <mergeCell ref="F100:F101"/>
    <mergeCell ref="M100:M101"/>
    <mergeCell ref="M98:M99"/>
    <mergeCell ref="N98:N99"/>
    <mergeCell ref="O98:O99"/>
    <mergeCell ref="Q98:Q99"/>
    <mergeCell ref="R98:R99"/>
    <mergeCell ref="S98:S99"/>
    <mergeCell ref="Q104:Q105"/>
    <mergeCell ref="R104:R105"/>
    <mergeCell ref="S104:S105"/>
    <mergeCell ref="T104:T105"/>
    <mergeCell ref="U104:U105"/>
    <mergeCell ref="V104:V105"/>
    <mergeCell ref="V102:V103"/>
    <mergeCell ref="A104:A105"/>
    <mergeCell ref="B104:B105"/>
    <mergeCell ref="C104:C105"/>
    <mergeCell ref="D104:D105"/>
    <mergeCell ref="E104:E105"/>
    <mergeCell ref="F104:F105"/>
    <mergeCell ref="M104:M105"/>
    <mergeCell ref="N104:N105"/>
    <mergeCell ref="O104:O105"/>
    <mergeCell ref="O102:O103"/>
    <mergeCell ref="Q102:Q103"/>
    <mergeCell ref="R102:R103"/>
    <mergeCell ref="S102:S103"/>
    <mergeCell ref="T102:T103"/>
    <mergeCell ref="U102:U103"/>
    <mergeCell ref="T106:T107"/>
    <mergeCell ref="U106:U107"/>
    <mergeCell ref="V106:V107"/>
    <mergeCell ref="A108:A109"/>
    <mergeCell ref="C108:C109"/>
    <mergeCell ref="D108:D109"/>
    <mergeCell ref="E108:E109"/>
    <mergeCell ref="F108:F109"/>
    <mergeCell ref="M108:M109"/>
    <mergeCell ref="N108:N109"/>
    <mergeCell ref="M106:M107"/>
    <mergeCell ref="N106:N107"/>
    <mergeCell ref="O106:O107"/>
    <mergeCell ref="Q106:Q107"/>
    <mergeCell ref="R106:R107"/>
    <mergeCell ref="S106:S107"/>
    <mergeCell ref="A106:A107"/>
    <mergeCell ref="B106:B107"/>
    <mergeCell ref="C106:C107"/>
    <mergeCell ref="D106:D107"/>
    <mergeCell ref="E106:E107"/>
    <mergeCell ref="F106:F107"/>
    <mergeCell ref="A112:A113"/>
    <mergeCell ref="B112:B113"/>
    <mergeCell ref="C112:C113"/>
    <mergeCell ref="D112:D113"/>
    <mergeCell ref="E112:E113"/>
    <mergeCell ref="F112:F113"/>
    <mergeCell ref="Q110:Q111"/>
    <mergeCell ref="R110:R111"/>
    <mergeCell ref="S110:S111"/>
    <mergeCell ref="T110:T111"/>
    <mergeCell ref="U110:U111"/>
    <mergeCell ref="V110:V111"/>
    <mergeCell ref="V108:V109"/>
    <mergeCell ref="A110:A111"/>
    <mergeCell ref="B110:B111"/>
    <mergeCell ref="C110:C111"/>
    <mergeCell ref="D110:D111"/>
    <mergeCell ref="E110:E111"/>
    <mergeCell ref="F110:F111"/>
    <mergeCell ref="M110:M111"/>
    <mergeCell ref="N110:N111"/>
    <mergeCell ref="O110:O111"/>
    <mergeCell ref="O108:O109"/>
    <mergeCell ref="Q108:Q109"/>
    <mergeCell ref="R108:R109"/>
    <mergeCell ref="S108:S109"/>
    <mergeCell ref="T108:T109"/>
    <mergeCell ref="U108:U109"/>
    <mergeCell ref="B108:B109"/>
    <mergeCell ref="U114:U115"/>
    <mergeCell ref="V114:V115"/>
    <mergeCell ref="A116:A117"/>
    <mergeCell ref="B116:B117"/>
    <mergeCell ref="C116:C117"/>
    <mergeCell ref="D116:D117"/>
    <mergeCell ref="E116:E117"/>
    <mergeCell ref="F116:F117"/>
    <mergeCell ref="M116:M117"/>
    <mergeCell ref="N116:N117"/>
    <mergeCell ref="N114:N115"/>
    <mergeCell ref="O114:O115"/>
    <mergeCell ref="Q114:Q115"/>
    <mergeCell ref="R114:R115"/>
    <mergeCell ref="S114:S115"/>
    <mergeCell ref="T114:T115"/>
    <mergeCell ref="T112:T113"/>
    <mergeCell ref="U112:U113"/>
    <mergeCell ref="V112:V113"/>
    <mergeCell ref="A114:A115"/>
    <mergeCell ref="B114:B115"/>
    <mergeCell ref="C114:C115"/>
    <mergeCell ref="D114:D115"/>
    <mergeCell ref="E114:E115"/>
    <mergeCell ref="F114:F115"/>
    <mergeCell ref="M114:M115"/>
    <mergeCell ref="M112:M113"/>
    <mergeCell ref="N112:N113"/>
    <mergeCell ref="O112:O113"/>
    <mergeCell ref="Q112:Q113"/>
    <mergeCell ref="R112:R113"/>
    <mergeCell ref="S112:S113"/>
    <mergeCell ref="A120:A121"/>
    <mergeCell ref="B120:B121"/>
    <mergeCell ref="C120:C121"/>
    <mergeCell ref="D120:D121"/>
    <mergeCell ref="E120:E121"/>
    <mergeCell ref="F120:F121"/>
    <mergeCell ref="Q118:Q119"/>
    <mergeCell ref="R118:R119"/>
    <mergeCell ref="S118:S119"/>
    <mergeCell ref="T118:T119"/>
    <mergeCell ref="U118:U119"/>
    <mergeCell ref="V118:V119"/>
    <mergeCell ref="V116:V117"/>
    <mergeCell ref="A118:A119"/>
    <mergeCell ref="B118:B119"/>
    <mergeCell ref="C118:C119"/>
    <mergeCell ref="D118:D119"/>
    <mergeCell ref="E118:E119"/>
    <mergeCell ref="F118:F119"/>
    <mergeCell ref="M118:M119"/>
    <mergeCell ref="N118:N119"/>
    <mergeCell ref="O118:O119"/>
    <mergeCell ref="O116:O117"/>
    <mergeCell ref="Q116:Q117"/>
    <mergeCell ref="R116:R117"/>
    <mergeCell ref="S116:S117"/>
    <mergeCell ref="T116:T117"/>
    <mergeCell ref="U116:U117"/>
    <mergeCell ref="U122:U123"/>
    <mergeCell ref="V122:V123"/>
    <mergeCell ref="A124:A125"/>
    <mergeCell ref="B124:B125"/>
    <mergeCell ref="C124:C125"/>
    <mergeCell ref="D124:D125"/>
    <mergeCell ref="E124:E125"/>
    <mergeCell ref="F124:F125"/>
    <mergeCell ref="M124:M125"/>
    <mergeCell ref="N124:N125"/>
    <mergeCell ref="N122:N123"/>
    <mergeCell ref="O122:O123"/>
    <mergeCell ref="Q122:Q123"/>
    <mergeCell ref="R122:R123"/>
    <mergeCell ref="S122:S123"/>
    <mergeCell ref="T122:T123"/>
    <mergeCell ref="T120:T121"/>
    <mergeCell ref="U120:U121"/>
    <mergeCell ref="V120:V121"/>
    <mergeCell ref="A122:A123"/>
    <mergeCell ref="B122:B123"/>
    <mergeCell ref="C122:C123"/>
    <mergeCell ref="D122:D123"/>
    <mergeCell ref="E122:E123"/>
    <mergeCell ref="F122:F123"/>
    <mergeCell ref="M122:M123"/>
    <mergeCell ref="M120:M121"/>
    <mergeCell ref="N120:N121"/>
    <mergeCell ref="O120:O121"/>
    <mergeCell ref="Q120:Q121"/>
    <mergeCell ref="R120:R121"/>
    <mergeCell ref="S120:S121"/>
    <mergeCell ref="A128:A129"/>
    <mergeCell ref="B128:B129"/>
    <mergeCell ref="C128:C129"/>
    <mergeCell ref="D128:D129"/>
    <mergeCell ref="E128:E129"/>
    <mergeCell ref="F128:F129"/>
    <mergeCell ref="Q126:Q127"/>
    <mergeCell ref="R126:R127"/>
    <mergeCell ref="S126:S127"/>
    <mergeCell ref="T126:T127"/>
    <mergeCell ref="U126:U127"/>
    <mergeCell ref="V126:V127"/>
    <mergeCell ref="V124:V125"/>
    <mergeCell ref="A126:A127"/>
    <mergeCell ref="B126:B127"/>
    <mergeCell ref="C126:C127"/>
    <mergeCell ref="D126:D127"/>
    <mergeCell ref="E126:E127"/>
    <mergeCell ref="F126:F127"/>
    <mergeCell ref="M126:M127"/>
    <mergeCell ref="N126:N127"/>
    <mergeCell ref="O126:O127"/>
    <mergeCell ref="O124:O125"/>
    <mergeCell ref="Q124:Q125"/>
    <mergeCell ref="R124:R125"/>
    <mergeCell ref="S124:S125"/>
    <mergeCell ref="T124:T125"/>
    <mergeCell ref="U124:U125"/>
    <mergeCell ref="U130:U131"/>
    <mergeCell ref="V130:V131"/>
    <mergeCell ref="A132:A133"/>
    <mergeCell ref="B132:B133"/>
    <mergeCell ref="C132:C133"/>
    <mergeCell ref="D132:D133"/>
    <mergeCell ref="E132:E133"/>
    <mergeCell ref="F132:F133"/>
    <mergeCell ref="M132:M133"/>
    <mergeCell ref="N132:N133"/>
    <mergeCell ref="N130:N131"/>
    <mergeCell ref="O130:O131"/>
    <mergeCell ref="Q130:Q131"/>
    <mergeCell ref="R130:R131"/>
    <mergeCell ref="S130:S131"/>
    <mergeCell ref="T130:T131"/>
    <mergeCell ref="T128:T129"/>
    <mergeCell ref="U128:U129"/>
    <mergeCell ref="V128:V129"/>
    <mergeCell ref="A130:A131"/>
    <mergeCell ref="B130:B131"/>
    <mergeCell ref="C130:C131"/>
    <mergeCell ref="D130:D131"/>
    <mergeCell ref="E130:E131"/>
    <mergeCell ref="F130:F131"/>
    <mergeCell ref="M130:M131"/>
    <mergeCell ref="M128:M129"/>
    <mergeCell ref="N128:N129"/>
    <mergeCell ref="O128:O129"/>
    <mergeCell ref="Q128:Q129"/>
    <mergeCell ref="R128:R129"/>
    <mergeCell ref="S128:S129"/>
    <mergeCell ref="A136:A137"/>
    <mergeCell ref="B136:B137"/>
    <mergeCell ref="C136:C137"/>
    <mergeCell ref="D136:D137"/>
    <mergeCell ref="E136:E137"/>
    <mergeCell ref="F136:F137"/>
    <mergeCell ref="Q134:Q135"/>
    <mergeCell ref="R134:R135"/>
    <mergeCell ref="S134:S135"/>
    <mergeCell ref="T134:T135"/>
    <mergeCell ref="U134:U135"/>
    <mergeCell ref="V134:V135"/>
    <mergeCell ref="V132:V133"/>
    <mergeCell ref="A134:A135"/>
    <mergeCell ref="B134:B135"/>
    <mergeCell ref="C134:C135"/>
    <mergeCell ref="D134:D135"/>
    <mergeCell ref="E134:E135"/>
    <mergeCell ref="F134:F135"/>
    <mergeCell ref="M134:M135"/>
    <mergeCell ref="N134:N135"/>
    <mergeCell ref="O134:O135"/>
    <mergeCell ref="O132:O133"/>
    <mergeCell ref="Q132:Q133"/>
    <mergeCell ref="R132:R133"/>
    <mergeCell ref="S132:S133"/>
    <mergeCell ref="T132:T133"/>
    <mergeCell ref="U132:U133"/>
    <mergeCell ref="U138:U139"/>
    <mergeCell ref="V138:V139"/>
    <mergeCell ref="A140:A141"/>
    <mergeCell ref="B140:B141"/>
    <mergeCell ref="C140:C141"/>
    <mergeCell ref="D140:D141"/>
    <mergeCell ref="E140:E141"/>
    <mergeCell ref="F140:F141"/>
    <mergeCell ref="M140:M141"/>
    <mergeCell ref="N140:N141"/>
    <mergeCell ref="N138:N139"/>
    <mergeCell ref="O138:O139"/>
    <mergeCell ref="Q138:Q139"/>
    <mergeCell ref="R138:R139"/>
    <mergeCell ref="S138:S139"/>
    <mergeCell ref="T138:T139"/>
    <mergeCell ref="T136:T137"/>
    <mergeCell ref="U136:U137"/>
    <mergeCell ref="V136:V137"/>
    <mergeCell ref="A138:A139"/>
    <mergeCell ref="B138:B139"/>
    <mergeCell ref="C138:C139"/>
    <mergeCell ref="D138:D139"/>
    <mergeCell ref="E138:E139"/>
    <mergeCell ref="F138:F139"/>
    <mergeCell ref="M138:M139"/>
    <mergeCell ref="M136:M137"/>
    <mergeCell ref="N136:N137"/>
    <mergeCell ref="O136:O137"/>
    <mergeCell ref="Q136:Q137"/>
    <mergeCell ref="R136:R137"/>
    <mergeCell ref="S136:S137"/>
    <mergeCell ref="A144:A145"/>
    <mergeCell ref="B144:B145"/>
    <mergeCell ref="C144:C145"/>
    <mergeCell ref="D144:D145"/>
    <mergeCell ref="E144:E145"/>
    <mergeCell ref="F144:F145"/>
    <mergeCell ref="Q142:Q143"/>
    <mergeCell ref="R142:R143"/>
    <mergeCell ref="S142:S143"/>
    <mergeCell ref="T142:T143"/>
    <mergeCell ref="U142:U143"/>
    <mergeCell ref="V142:V143"/>
    <mergeCell ref="V140:V141"/>
    <mergeCell ref="A142:A143"/>
    <mergeCell ref="B142:B143"/>
    <mergeCell ref="C142:C143"/>
    <mergeCell ref="D142:D143"/>
    <mergeCell ref="E142:E143"/>
    <mergeCell ref="F142:F143"/>
    <mergeCell ref="M142:M143"/>
    <mergeCell ref="N142:N143"/>
    <mergeCell ref="O142:O143"/>
    <mergeCell ref="O140:O141"/>
    <mergeCell ref="Q140:Q141"/>
    <mergeCell ref="R140:R141"/>
    <mergeCell ref="S140:S141"/>
    <mergeCell ref="T140:T141"/>
    <mergeCell ref="U140:U141"/>
    <mergeCell ref="U146:U147"/>
    <mergeCell ref="V146:V147"/>
    <mergeCell ref="A148:A149"/>
    <mergeCell ref="B148:B149"/>
    <mergeCell ref="C148:C149"/>
    <mergeCell ref="D148:D149"/>
    <mergeCell ref="E148:E149"/>
    <mergeCell ref="F148:F149"/>
    <mergeCell ref="M148:M149"/>
    <mergeCell ref="N148:N149"/>
    <mergeCell ref="N146:N147"/>
    <mergeCell ref="O146:O147"/>
    <mergeCell ref="Q146:Q147"/>
    <mergeCell ref="R146:R147"/>
    <mergeCell ref="S146:S147"/>
    <mergeCell ref="T146:T147"/>
    <mergeCell ref="T144:T145"/>
    <mergeCell ref="U144:U145"/>
    <mergeCell ref="V144:V145"/>
    <mergeCell ref="A146:A147"/>
    <mergeCell ref="B146:B147"/>
    <mergeCell ref="C146:C147"/>
    <mergeCell ref="D146:D147"/>
    <mergeCell ref="E146:E147"/>
    <mergeCell ref="F146:F147"/>
    <mergeCell ref="M146:M147"/>
    <mergeCell ref="M144:M145"/>
    <mergeCell ref="N144:N145"/>
    <mergeCell ref="O144:O145"/>
    <mergeCell ref="Q144:Q145"/>
    <mergeCell ref="R144:R145"/>
    <mergeCell ref="S144:S145"/>
    <mergeCell ref="A152:A153"/>
    <mergeCell ref="B152:B153"/>
    <mergeCell ref="C152:C153"/>
    <mergeCell ref="D152:D153"/>
    <mergeCell ref="E152:E153"/>
    <mergeCell ref="F152:F153"/>
    <mergeCell ref="Q150:Q151"/>
    <mergeCell ref="R150:R151"/>
    <mergeCell ref="S150:S151"/>
    <mergeCell ref="T150:T151"/>
    <mergeCell ref="U150:U151"/>
    <mergeCell ref="V150:V151"/>
    <mergeCell ref="V148:V149"/>
    <mergeCell ref="A150:A151"/>
    <mergeCell ref="B150:B151"/>
    <mergeCell ref="C150:C151"/>
    <mergeCell ref="D150:D151"/>
    <mergeCell ref="E150:E151"/>
    <mergeCell ref="F150:F151"/>
    <mergeCell ref="M150:M151"/>
    <mergeCell ref="N150:N151"/>
    <mergeCell ref="O150:O151"/>
    <mergeCell ref="O148:O149"/>
    <mergeCell ref="Q148:Q149"/>
    <mergeCell ref="R148:R149"/>
    <mergeCell ref="S148:S149"/>
    <mergeCell ref="T148:T149"/>
    <mergeCell ref="U148:U149"/>
    <mergeCell ref="U154:U155"/>
    <mergeCell ref="V154:V155"/>
    <mergeCell ref="A156:A157"/>
    <mergeCell ref="B156:B157"/>
    <mergeCell ref="C156:C157"/>
    <mergeCell ref="D156:D157"/>
    <mergeCell ref="E156:E157"/>
    <mergeCell ref="F156:F157"/>
    <mergeCell ref="M156:M157"/>
    <mergeCell ref="N156:N157"/>
    <mergeCell ref="N154:N155"/>
    <mergeCell ref="O154:O155"/>
    <mergeCell ref="Q154:Q155"/>
    <mergeCell ref="R154:R155"/>
    <mergeCell ref="S154:S155"/>
    <mergeCell ref="T154:T155"/>
    <mergeCell ref="T152:T153"/>
    <mergeCell ref="U152:U153"/>
    <mergeCell ref="V152:V153"/>
    <mergeCell ref="A154:A155"/>
    <mergeCell ref="B154:B155"/>
    <mergeCell ref="C154:C155"/>
    <mergeCell ref="D154:D155"/>
    <mergeCell ref="E154:E155"/>
    <mergeCell ref="F154:F155"/>
    <mergeCell ref="M154:M155"/>
    <mergeCell ref="M152:M153"/>
    <mergeCell ref="N152:N153"/>
    <mergeCell ref="O152:O153"/>
    <mergeCell ref="Q152:Q153"/>
    <mergeCell ref="R152:R153"/>
    <mergeCell ref="S152:S153"/>
    <mergeCell ref="A160:A161"/>
    <mergeCell ref="B160:B161"/>
    <mergeCell ref="C160:C161"/>
    <mergeCell ref="D160:D161"/>
    <mergeCell ref="E160:E161"/>
    <mergeCell ref="F160:F161"/>
    <mergeCell ref="Q158:Q159"/>
    <mergeCell ref="R158:R159"/>
    <mergeCell ref="S158:S159"/>
    <mergeCell ref="T158:T159"/>
    <mergeCell ref="U158:U159"/>
    <mergeCell ref="V158:V159"/>
    <mergeCell ref="V156:V157"/>
    <mergeCell ref="A158:A159"/>
    <mergeCell ref="B158:B159"/>
    <mergeCell ref="C158:C159"/>
    <mergeCell ref="D158:D159"/>
    <mergeCell ref="E158:E159"/>
    <mergeCell ref="F158:F159"/>
    <mergeCell ref="M158:M159"/>
    <mergeCell ref="N158:N159"/>
    <mergeCell ref="O158:O159"/>
    <mergeCell ref="O156:O157"/>
    <mergeCell ref="Q156:Q157"/>
    <mergeCell ref="R156:R157"/>
    <mergeCell ref="S156:S157"/>
    <mergeCell ref="T156:T157"/>
    <mergeCell ref="U156:U157"/>
    <mergeCell ref="U162:U163"/>
    <mergeCell ref="V162:V163"/>
    <mergeCell ref="A164:A165"/>
    <mergeCell ref="B164:B165"/>
    <mergeCell ref="C164:C165"/>
    <mergeCell ref="D164:D165"/>
    <mergeCell ref="E164:E165"/>
    <mergeCell ref="F164:F165"/>
    <mergeCell ref="M164:M165"/>
    <mergeCell ref="N164:N165"/>
    <mergeCell ref="N162:N163"/>
    <mergeCell ref="O162:O163"/>
    <mergeCell ref="Q162:Q163"/>
    <mergeCell ref="R162:R163"/>
    <mergeCell ref="S162:S163"/>
    <mergeCell ref="T162:T163"/>
    <mergeCell ref="T160:T161"/>
    <mergeCell ref="U160:U161"/>
    <mergeCell ref="V160:V161"/>
    <mergeCell ref="A162:A163"/>
    <mergeCell ref="B162:B163"/>
    <mergeCell ref="C162:C163"/>
    <mergeCell ref="D162:D163"/>
    <mergeCell ref="E162:E163"/>
    <mergeCell ref="F162:F163"/>
    <mergeCell ref="M162:M163"/>
    <mergeCell ref="M160:M161"/>
    <mergeCell ref="N160:N161"/>
    <mergeCell ref="O160:O161"/>
    <mergeCell ref="Q160:Q161"/>
    <mergeCell ref="R160:R161"/>
    <mergeCell ref="S160:S161"/>
    <mergeCell ref="A168:A169"/>
    <mergeCell ref="B168:B169"/>
    <mergeCell ref="C168:C169"/>
    <mergeCell ref="D168:D169"/>
    <mergeCell ref="E168:E169"/>
    <mergeCell ref="F168:F169"/>
    <mergeCell ref="Q166:Q167"/>
    <mergeCell ref="R166:R167"/>
    <mergeCell ref="S166:S167"/>
    <mergeCell ref="T166:T167"/>
    <mergeCell ref="U166:U167"/>
    <mergeCell ref="V166:V167"/>
    <mergeCell ref="V164:V165"/>
    <mergeCell ref="A166:A167"/>
    <mergeCell ref="B166:B167"/>
    <mergeCell ref="C166:C167"/>
    <mergeCell ref="D166:D167"/>
    <mergeCell ref="E166:E167"/>
    <mergeCell ref="F166:F167"/>
    <mergeCell ref="M166:M167"/>
    <mergeCell ref="N166:N167"/>
    <mergeCell ref="O166:O167"/>
    <mergeCell ref="O164:O165"/>
    <mergeCell ref="Q164:Q165"/>
    <mergeCell ref="R164:R165"/>
    <mergeCell ref="S164:S165"/>
    <mergeCell ref="T164:T165"/>
    <mergeCell ref="U164:U165"/>
    <mergeCell ref="U170:U171"/>
    <mergeCell ref="V170:V171"/>
    <mergeCell ref="A172:A173"/>
    <mergeCell ref="B172:B173"/>
    <mergeCell ref="C172:C173"/>
    <mergeCell ref="D172:D173"/>
    <mergeCell ref="E172:E173"/>
    <mergeCell ref="F172:F173"/>
    <mergeCell ref="M172:M173"/>
    <mergeCell ref="N172:N173"/>
    <mergeCell ref="N170:N171"/>
    <mergeCell ref="O170:O171"/>
    <mergeCell ref="Q170:Q171"/>
    <mergeCell ref="R170:R171"/>
    <mergeCell ref="S170:S171"/>
    <mergeCell ref="T170:T171"/>
    <mergeCell ref="T168:T169"/>
    <mergeCell ref="U168:U169"/>
    <mergeCell ref="V168:V169"/>
    <mergeCell ref="A170:A171"/>
    <mergeCell ref="B170:B171"/>
    <mergeCell ref="C170:C171"/>
    <mergeCell ref="D170:D171"/>
    <mergeCell ref="E170:E171"/>
    <mergeCell ref="F170:F171"/>
    <mergeCell ref="M170:M171"/>
    <mergeCell ref="M168:M169"/>
    <mergeCell ref="N168:N169"/>
    <mergeCell ref="O168:O169"/>
    <mergeCell ref="Q168:Q169"/>
    <mergeCell ref="R168:R169"/>
    <mergeCell ref="S168:S169"/>
    <mergeCell ref="A176:A177"/>
    <mergeCell ref="B176:B177"/>
    <mergeCell ref="C176:C177"/>
    <mergeCell ref="D176:D177"/>
    <mergeCell ref="E176:E177"/>
    <mergeCell ref="F176:F177"/>
    <mergeCell ref="Q174:Q175"/>
    <mergeCell ref="R174:R175"/>
    <mergeCell ref="S174:S175"/>
    <mergeCell ref="T174:T175"/>
    <mergeCell ref="U174:U175"/>
    <mergeCell ref="V174:V175"/>
    <mergeCell ref="V172:V173"/>
    <mergeCell ref="A174:A175"/>
    <mergeCell ref="B174:B175"/>
    <mergeCell ref="C174:C175"/>
    <mergeCell ref="D174:D175"/>
    <mergeCell ref="E174:E175"/>
    <mergeCell ref="F174:F175"/>
    <mergeCell ref="M174:M175"/>
    <mergeCell ref="N174:N175"/>
    <mergeCell ref="O174:O175"/>
    <mergeCell ref="O172:O173"/>
    <mergeCell ref="Q172:Q173"/>
    <mergeCell ref="R172:R173"/>
    <mergeCell ref="S172:S173"/>
    <mergeCell ref="T172:T173"/>
    <mergeCell ref="U172:U173"/>
    <mergeCell ref="U178:U179"/>
    <mergeCell ref="V178:V179"/>
    <mergeCell ref="A180:A181"/>
    <mergeCell ref="B180:B181"/>
    <mergeCell ref="C180:C181"/>
    <mergeCell ref="D180:D181"/>
    <mergeCell ref="E180:E181"/>
    <mergeCell ref="F180:F181"/>
    <mergeCell ref="M180:M181"/>
    <mergeCell ref="N180:N181"/>
    <mergeCell ref="N178:N179"/>
    <mergeCell ref="O178:O179"/>
    <mergeCell ref="Q178:Q179"/>
    <mergeCell ref="R178:R179"/>
    <mergeCell ref="S178:S179"/>
    <mergeCell ref="T178:T179"/>
    <mergeCell ref="T176:T177"/>
    <mergeCell ref="U176:U177"/>
    <mergeCell ref="V176:V177"/>
    <mergeCell ref="A178:A179"/>
    <mergeCell ref="B178:B179"/>
    <mergeCell ref="C178:C179"/>
    <mergeCell ref="D178:D179"/>
    <mergeCell ref="E178:E179"/>
    <mergeCell ref="F178:F179"/>
    <mergeCell ref="M178:M179"/>
    <mergeCell ref="M176:M177"/>
    <mergeCell ref="N176:N177"/>
    <mergeCell ref="O176:O177"/>
    <mergeCell ref="Q176:Q177"/>
    <mergeCell ref="R176:R177"/>
    <mergeCell ref="S176:S177"/>
    <mergeCell ref="A184:A185"/>
    <mergeCell ref="B184:B185"/>
    <mergeCell ref="C184:C185"/>
    <mergeCell ref="D184:D185"/>
    <mergeCell ref="E184:E185"/>
    <mergeCell ref="F184:F185"/>
    <mergeCell ref="Q182:Q183"/>
    <mergeCell ref="R182:R183"/>
    <mergeCell ref="S182:S183"/>
    <mergeCell ref="T182:T183"/>
    <mergeCell ref="U182:U183"/>
    <mergeCell ref="V182:V183"/>
    <mergeCell ref="V180:V181"/>
    <mergeCell ref="A182:A183"/>
    <mergeCell ref="B182:B183"/>
    <mergeCell ref="C182:C183"/>
    <mergeCell ref="D182:D183"/>
    <mergeCell ref="E182:E183"/>
    <mergeCell ref="F182:F183"/>
    <mergeCell ref="M182:M183"/>
    <mergeCell ref="N182:N183"/>
    <mergeCell ref="O182:O183"/>
    <mergeCell ref="O180:O181"/>
    <mergeCell ref="Q180:Q181"/>
    <mergeCell ref="R180:R181"/>
    <mergeCell ref="S180:S181"/>
    <mergeCell ref="T180:T181"/>
    <mergeCell ref="U180:U181"/>
    <mergeCell ref="U186:U187"/>
    <mergeCell ref="V186:V187"/>
    <mergeCell ref="A188:A189"/>
    <mergeCell ref="B188:B189"/>
    <mergeCell ref="C188:C189"/>
    <mergeCell ref="D188:D189"/>
    <mergeCell ref="E188:E189"/>
    <mergeCell ref="F188:F189"/>
    <mergeCell ref="M188:M189"/>
    <mergeCell ref="N188:N189"/>
    <mergeCell ref="N186:N187"/>
    <mergeCell ref="O186:O187"/>
    <mergeCell ref="Q186:Q187"/>
    <mergeCell ref="R186:R187"/>
    <mergeCell ref="S186:S187"/>
    <mergeCell ref="T186:T187"/>
    <mergeCell ref="T184:T185"/>
    <mergeCell ref="U184:U185"/>
    <mergeCell ref="V184:V185"/>
    <mergeCell ref="A186:A187"/>
    <mergeCell ref="B186:B187"/>
    <mergeCell ref="C186:C187"/>
    <mergeCell ref="D186:D187"/>
    <mergeCell ref="E186:E187"/>
    <mergeCell ref="F186:F187"/>
    <mergeCell ref="M186:M187"/>
    <mergeCell ref="M184:M185"/>
    <mergeCell ref="N184:N185"/>
    <mergeCell ref="O184:O185"/>
    <mergeCell ref="Q184:Q185"/>
    <mergeCell ref="R184:R185"/>
    <mergeCell ref="S184:S185"/>
    <mergeCell ref="A192:A193"/>
    <mergeCell ref="B192:B193"/>
    <mergeCell ref="C192:C193"/>
    <mergeCell ref="D192:D193"/>
    <mergeCell ref="E192:E193"/>
    <mergeCell ref="F192:F193"/>
    <mergeCell ref="Q190:Q191"/>
    <mergeCell ref="R190:R191"/>
    <mergeCell ref="S190:S191"/>
    <mergeCell ref="T190:T191"/>
    <mergeCell ref="U190:U191"/>
    <mergeCell ref="V190:V191"/>
    <mergeCell ref="V188:V189"/>
    <mergeCell ref="A190:A191"/>
    <mergeCell ref="B190:B191"/>
    <mergeCell ref="C190:C191"/>
    <mergeCell ref="D190:D191"/>
    <mergeCell ref="E190:E191"/>
    <mergeCell ref="F190:F191"/>
    <mergeCell ref="M190:M191"/>
    <mergeCell ref="N190:N191"/>
    <mergeCell ref="O190:O191"/>
    <mergeCell ref="O188:O189"/>
    <mergeCell ref="Q188:Q189"/>
    <mergeCell ref="R188:R189"/>
    <mergeCell ref="S188:S189"/>
    <mergeCell ref="T188:T189"/>
    <mergeCell ref="U188:U189"/>
    <mergeCell ref="U194:U195"/>
    <mergeCell ref="V194:V195"/>
    <mergeCell ref="A196:A197"/>
    <mergeCell ref="B196:B197"/>
    <mergeCell ref="C196:C197"/>
    <mergeCell ref="D196:D197"/>
    <mergeCell ref="E196:E197"/>
    <mergeCell ref="F196:F197"/>
    <mergeCell ref="M196:M197"/>
    <mergeCell ref="N196:N197"/>
    <mergeCell ref="N194:N195"/>
    <mergeCell ref="O194:O195"/>
    <mergeCell ref="Q194:Q195"/>
    <mergeCell ref="R194:R195"/>
    <mergeCell ref="S194:S195"/>
    <mergeCell ref="T194:T195"/>
    <mergeCell ref="T192:T193"/>
    <mergeCell ref="U192:U193"/>
    <mergeCell ref="V192:V193"/>
    <mergeCell ref="A194:A195"/>
    <mergeCell ref="B194:B195"/>
    <mergeCell ref="C194:C195"/>
    <mergeCell ref="D194:D195"/>
    <mergeCell ref="E194:E195"/>
    <mergeCell ref="F194:F195"/>
    <mergeCell ref="M194:M195"/>
    <mergeCell ref="M192:M193"/>
    <mergeCell ref="N192:N193"/>
    <mergeCell ref="O192:O193"/>
    <mergeCell ref="Q192:Q193"/>
    <mergeCell ref="R192:R193"/>
    <mergeCell ref="S192:S193"/>
    <mergeCell ref="A200:A201"/>
    <mergeCell ref="B200:B201"/>
    <mergeCell ref="C200:C201"/>
    <mergeCell ref="D200:D201"/>
    <mergeCell ref="E200:E201"/>
    <mergeCell ref="F200:F201"/>
    <mergeCell ref="Q198:Q199"/>
    <mergeCell ref="R198:R199"/>
    <mergeCell ref="S198:S199"/>
    <mergeCell ref="T198:T199"/>
    <mergeCell ref="U198:U199"/>
    <mergeCell ref="V198:V199"/>
    <mergeCell ref="V196:V197"/>
    <mergeCell ref="A198:A199"/>
    <mergeCell ref="B198:B199"/>
    <mergeCell ref="C198:C199"/>
    <mergeCell ref="D198:D199"/>
    <mergeCell ref="E198:E199"/>
    <mergeCell ref="F198:F199"/>
    <mergeCell ref="M198:M199"/>
    <mergeCell ref="N198:N199"/>
    <mergeCell ref="O198:O199"/>
    <mergeCell ref="O196:O197"/>
    <mergeCell ref="Q196:Q197"/>
    <mergeCell ref="R196:R197"/>
    <mergeCell ref="S196:S197"/>
    <mergeCell ref="T196:T197"/>
    <mergeCell ref="U196:U197"/>
    <mergeCell ref="U202:U203"/>
    <mergeCell ref="V202:V203"/>
    <mergeCell ref="A204:A205"/>
    <mergeCell ref="B204:B205"/>
    <mergeCell ref="C204:C205"/>
    <mergeCell ref="D204:D205"/>
    <mergeCell ref="E204:E205"/>
    <mergeCell ref="F204:F205"/>
    <mergeCell ref="M204:M205"/>
    <mergeCell ref="N204:N205"/>
    <mergeCell ref="N202:N203"/>
    <mergeCell ref="O202:O203"/>
    <mergeCell ref="Q202:Q203"/>
    <mergeCell ref="R202:R203"/>
    <mergeCell ref="S202:S203"/>
    <mergeCell ref="T202:T203"/>
    <mergeCell ref="T200:T201"/>
    <mergeCell ref="U200:U201"/>
    <mergeCell ref="V200:V201"/>
    <mergeCell ref="A202:A203"/>
    <mergeCell ref="B202:B203"/>
    <mergeCell ref="C202:C203"/>
    <mergeCell ref="D202:D203"/>
    <mergeCell ref="E202:E203"/>
    <mergeCell ref="F202:F203"/>
    <mergeCell ref="M202:M203"/>
    <mergeCell ref="M200:M201"/>
    <mergeCell ref="N200:N201"/>
    <mergeCell ref="O200:O201"/>
    <mergeCell ref="Q200:Q201"/>
    <mergeCell ref="R200:R201"/>
    <mergeCell ref="S200:S201"/>
    <mergeCell ref="A208:A209"/>
    <mergeCell ref="B208:B209"/>
    <mergeCell ref="C208:C209"/>
    <mergeCell ref="D208:D209"/>
    <mergeCell ref="E208:E209"/>
    <mergeCell ref="F208:F209"/>
    <mergeCell ref="Q206:Q207"/>
    <mergeCell ref="R206:R207"/>
    <mergeCell ref="S206:S207"/>
    <mergeCell ref="T206:T207"/>
    <mergeCell ref="U206:U207"/>
    <mergeCell ref="V206:V207"/>
    <mergeCell ref="V204:V205"/>
    <mergeCell ref="A206:A207"/>
    <mergeCell ref="B206:B207"/>
    <mergeCell ref="C206:C207"/>
    <mergeCell ref="D206:D207"/>
    <mergeCell ref="E206:E207"/>
    <mergeCell ref="F206:F207"/>
    <mergeCell ref="M206:M207"/>
    <mergeCell ref="N206:N207"/>
    <mergeCell ref="O206:O207"/>
    <mergeCell ref="O204:O205"/>
    <mergeCell ref="Q204:Q205"/>
    <mergeCell ref="R204:R205"/>
    <mergeCell ref="S204:S205"/>
    <mergeCell ref="T204:T205"/>
    <mergeCell ref="U204:U205"/>
    <mergeCell ref="U210:U211"/>
    <mergeCell ref="V210:V211"/>
    <mergeCell ref="A212:A213"/>
    <mergeCell ref="B212:B213"/>
    <mergeCell ref="C212:C213"/>
    <mergeCell ref="D212:D213"/>
    <mergeCell ref="E212:E213"/>
    <mergeCell ref="F212:F213"/>
    <mergeCell ref="M212:M213"/>
    <mergeCell ref="N212:N213"/>
    <mergeCell ref="N210:N211"/>
    <mergeCell ref="O210:O211"/>
    <mergeCell ref="Q210:Q211"/>
    <mergeCell ref="R210:R211"/>
    <mergeCell ref="S210:S211"/>
    <mergeCell ref="T210:T211"/>
    <mergeCell ref="T208:T209"/>
    <mergeCell ref="U208:U209"/>
    <mergeCell ref="V208:V209"/>
    <mergeCell ref="A210:A211"/>
    <mergeCell ref="B210:B211"/>
    <mergeCell ref="C210:C211"/>
    <mergeCell ref="D210:D211"/>
    <mergeCell ref="E210:E211"/>
    <mergeCell ref="F210:F211"/>
    <mergeCell ref="M210:M211"/>
    <mergeCell ref="M208:M209"/>
    <mergeCell ref="N208:N209"/>
    <mergeCell ref="O208:O209"/>
    <mergeCell ref="Q208:Q209"/>
    <mergeCell ref="R208:R209"/>
    <mergeCell ref="S208:S209"/>
    <mergeCell ref="A216:A217"/>
    <mergeCell ref="B216:B217"/>
    <mergeCell ref="C216:C217"/>
    <mergeCell ref="D216:D217"/>
    <mergeCell ref="E216:E217"/>
    <mergeCell ref="F216:F217"/>
    <mergeCell ref="Q214:Q215"/>
    <mergeCell ref="R214:R215"/>
    <mergeCell ref="S214:S215"/>
    <mergeCell ref="T214:T215"/>
    <mergeCell ref="U214:U215"/>
    <mergeCell ref="V214:V215"/>
    <mergeCell ref="V212:V213"/>
    <mergeCell ref="A214:A215"/>
    <mergeCell ref="B214:B215"/>
    <mergeCell ref="C214:C215"/>
    <mergeCell ref="D214:D215"/>
    <mergeCell ref="E214:E215"/>
    <mergeCell ref="F214:F215"/>
    <mergeCell ref="M214:M215"/>
    <mergeCell ref="N214:N215"/>
    <mergeCell ref="O214:O215"/>
    <mergeCell ref="O212:O213"/>
    <mergeCell ref="Q212:Q213"/>
    <mergeCell ref="R212:R213"/>
    <mergeCell ref="S212:S213"/>
    <mergeCell ref="T212:T213"/>
    <mergeCell ref="U212:U213"/>
    <mergeCell ref="U218:U219"/>
    <mergeCell ref="V218:V219"/>
    <mergeCell ref="A220:A221"/>
    <mergeCell ref="B220:B221"/>
    <mergeCell ref="C220:C221"/>
    <mergeCell ref="D220:D221"/>
    <mergeCell ref="E220:E221"/>
    <mergeCell ref="F220:F221"/>
    <mergeCell ref="M220:M221"/>
    <mergeCell ref="N220:N221"/>
    <mergeCell ref="N218:N219"/>
    <mergeCell ref="O218:O219"/>
    <mergeCell ref="Q218:Q219"/>
    <mergeCell ref="R218:R219"/>
    <mergeCell ref="S218:S219"/>
    <mergeCell ref="T218:T219"/>
    <mergeCell ref="T216:T217"/>
    <mergeCell ref="U216:U217"/>
    <mergeCell ref="V216:V217"/>
    <mergeCell ref="A218:A219"/>
    <mergeCell ref="B218:B219"/>
    <mergeCell ref="C218:C219"/>
    <mergeCell ref="D218:D219"/>
    <mergeCell ref="E218:E219"/>
    <mergeCell ref="F218:F219"/>
    <mergeCell ref="M218:M219"/>
    <mergeCell ref="M216:M217"/>
    <mergeCell ref="N216:N217"/>
    <mergeCell ref="O216:O217"/>
    <mergeCell ref="Q216:Q217"/>
    <mergeCell ref="R216:R217"/>
    <mergeCell ref="S216:S217"/>
    <mergeCell ref="A224:A225"/>
    <mergeCell ref="B224:B225"/>
    <mergeCell ref="C224:C225"/>
    <mergeCell ref="D224:D225"/>
    <mergeCell ref="E224:E225"/>
    <mergeCell ref="F224:F225"/>
    <mergeCell ref="Q222:Q223"/>
    <mergeCell ref="R222:R223"/>
    <mergeCell ref="S222:S223"/>
    <mergeCell ref="T222:T223"/>
    <mergeCell ref="U222:U223"/>
    <mergeCell ref="V222:V223"/>
    <mergeCell ref="V220:V221"/>
    <mergeCell ref="A222:A223"/>
    <mergeCell ref="B222:B223"/>
    <mergeCell ref="C222:C223"/>
    <mergeCell ref="D222:D223"/>
    <mergeCell ref="E222:E223"/>
    <mergeCell ref="F222:F223"/>
    <mergeCell ref="M222:M223"/>
    <mergeCell ref="N222:N223"/>
    <mergeCell ref="O222:O223"/>
    <mergeCell ref="O220:O221"/>
    <mergeCell ref="Q220:Q221"/>
    <mergeCell ref="R220:R221"/>
    <mergeCell ref="S220:S221"/>
    <mergeCell ref="T220:T221"/>
    <mergeCell ref="U220:U221"/>
    <mergeCell ref="U226:U227"/>
    <mergeCell ref="V226:V227"/>
    <mergeCell ref="A228:A229"/>
    <mergeCell ref="B228:B229"/>
    <mergeCell ref="C228:C229"/>
    <mergeCell ref="D228:D229"/>
    <mergeCell ref="E228:E229"/>
    <mergeCell ref="F228:F229"/>
    <mergeCell ref="M228:M229"/>
    <mergeCell ref="N228:N229"/>
    <mergeCell ref="N226:N227"/>
    <mergeCell ref="O226:O227"/>
    <mergeCell ref="Q226:Q227"/>
    <mergeCell ref="R226:R227"/>
    <mergeCell ref="S226:S227"/>
    <mergeCell ref="T226:T227"/>
    <mergeCell ref="T224:T225"/>
    <mergeCell ref="U224:U225"/>
    <mergeCell ref="V224:V225"/>
    <mergeCell ref="A226:A227"/>
    <mergeCell ref="B226:B227"/>
    <mergeCell ref="C226:C227"/>
    <mergeCell ref="D226:D227"/>
    <mergeCell ref="E226:E227"/>
    <mergeCell ref="F226:F227"/>
    <mergeCell ref="M226:M227"/>
    <mergeCell ref="M224:M225"/>
    <mergeCell ref="N224:N225"/>
    <mergeCell ref="O224:O225"/>
    <mergeCell ref="Q224:Q225"/>
    <mergeCell ref="R224:R225"/>
    <mergeCell ref="S224:S225"/>
    <mergeCell ref="A232:A233"/>
    <mergeCell ref="B232:B233"/>
    <mergeCell ref="C232:C233"/>
    <mergeCell ref="D232:D233"/>
    <mergeCell ref="E232:E233"/>
    <mergeCell ref="F232:F233"/>
    <mergeCell ref="Q230:Q231"/>
    <mergeCell ref="R230:R231"/>
    <mergeCell ref="S230:S231"/>
    <mergeCell ref="T230:T231"/>
    <mergeCell ref="U230:U231"/>
    <mergeCell ref="V230:V231"/>
    <mergeCell ref="V228:V229"/>
    <mergeCell ref="A230:A231"/>
    <mergeCell ref="B230:B231"/>
    <mergeCell ref="C230:C231"/>
    <mergeCell ref="D230:D231"/>
    <mergeCell ref="E230:E231"/>
    <mergeCell ref="F230:F231"/>
    <mergeCell ref="M230:M231"/>
    <mergeCell ref="N230:N231"/>
    <mergeCell ref="O230:O231"/>
    <mergeCell ref="O228:O229"/>
    <mergeCell ref="Q228:Q229"/>
    <mergeCell ref="R228:R229"/>
    <mergeCell ref="S228:S229"/>
    <mergeCell ref="T228:T229"/>
    <mergeCell ref="U228:U229"/>
    <mergeCell ref="U234:U235"/>
    <mergeCell ref="V234:V235"/>
    <mergeCell ref="A236:A237"/>
    <mergeCell ref="B236:B237"/>
    <mergeCell ref="C236:C237"/>
    <mergeCell ref="D236:D237"/>
    <mergeCell ref="E236:E237"/>
    <mergeCell ref="F236:F237"/>
    <mergeCell ref="M236:M237"/>
    <mergeCell ref="N236:N237"/>
    <mergeCell ref="N234:N235"/>
    <mergeCell ref="O234:O235"/>
    <mergeCell ref="Q234:Q235"/>
    <mergeCell ref="R234:R235"/>
    <mergeCell ref="S234:S235"/>
    <mergeCell ref="T234:T235"/>
    <mergeCell ref="T232:T233"/>
    <mergeCell ref="U232:U233"/>
    <mergeCell ref="V232:V233"/>
    <mergeCell ref="A234:A235"/>
    <mergeCell ref="B234:B235"/>
    <mergeCell ref="C234:C235"/>
    <mergeCell ref="D234:D235"/>
    <mergeCell ref="E234:E235"/>
    <mergeCell ref="F234:F235"/>
    <mergeCell ref="M234:M235"/>
    <mergeCell ref="M232:M233"/>
    <mergeCell ref="N232:N233"/>
    <mergeCell ref="O232:O233"/>
    <mergeCell ref="Q232:Q233"/>
    <mergeCell ref="R232:R233"/>
    <mergeCell ref="S232:S233"/>
    <mergeCell ref="A240:A241"/>
    <mergeCell ref="B240:B241"/>
    <mergeCell ref="C240:C241"/>
    <mergeCell ref="D240:D241"/>
    <mergeCell ref="E240:E241"/>
    <mergeCell ref="F240:F241"/>
    <mergeCell ref="Q238:Q239"/>
    <mergeCell ref="R238:R239"/>
    <mergeCell ref="S238:S239"/>
    <mergeCell ref="T238:T239"/>
    <mergeCell ref="U238:U239"/>
    <mergeCell ref="V238:V239"/>
    <mergeCell ref="V236:V237"/>
    <mergeCell ref="A238:A239"/>
    <mergeCell ref="B238:B239"/>
    <mergeCell ref="C238:C239"/>
    <mergeCell ref="D238:D239"/>
    <mergeCell ref="E238:E239"/>
    <mergeCell ref="F238:F239"/>
    <mergeCell ref="M238:M239"/>
    <mergeCell ref="N238:N239"/>
    <mergeCell ref="O238:O239"/>
    <mergeCell ref="O236:O237"/>
    <mergeCell ref="Q236:Q237"/>
    <mergeCell ref="R236:R237"/>
    <mergeCell ref="S236:S237"/>
    <mergeCell ref="T236:T237"/>
    <mergeCell ref="U236:U237"/>
    <mergeCell ref="U242:U243"/>
    <mergeCell ref="V242:V243"/>
    <mergeCell ref="A244:A245"/>
    <mergeCell ref="B244:B245"/>
    <mergeCell ref="C244:C245"/>
    <mergeCell ref="D244:D245"/>
    <mergeCell ref="E244:E245"/>
    <mergeCell ref="F244:F245"/>
    <mergeCell ref="M244:M245"/>
    <mergeCell ref="N244:N245"/>
    <mergeCell ref="N242:N243"/>
    <mergeCell ref="O242:O243"/>
    <mergeCell ref="Q242:Q243"/>
    <mergeCell ref="R242:R243"/>
    <mergeCell ref="S242:S243"/>
    <mergeCell ref="T242:T243"/>
    <mergeCell ref="T240:T241"/>
    <mergeCell ref="U240:U241"/>
    <mergeCell ref="V240:V241"/>
    <mergeCell ref="A242:A243"/>
    <mergeCell ref="B242:B243"/>
    <mergeCell ref="C242:C243"/>
    <mergeCell ref="D242:D243"/>
    <mergeCell ref="E242:E243"/>
    <mergeCell ref="F242:F243"/>
    <mergeCell ref="M242:M243"/>
    <mergeCell ref="M240:M241"/>
    <mergeCell ref="N240:N241"/>
    <mergeCell ref="O240:O241"/>
    <mergeCell ref="Q240:Q241"/>
    <mergeCell ref="R240:R241"/>
    <mergeCell ref="S240:S241"/>
    <mergeCell ref="A248:A249"/>
    <mergeCell ref="B248:B249"/>
    <mergeCell ref="C248:C249"/>
    <mergeCell ref="D248:D249"/>
    <mergeCell ref="E248:E249"/>
    <mergeCell ref="F248:F249"/>
    <mergeCell ref="Q246:Q247"/>
    <mergeCell ref="R246:R247"/>
    <mergeCell ref="S246:S247"/>
    <mergeCell ref="T246:T247"/>
    <mergeCell ref="U246:U247"/>
    <mergeCell ref="V246:V247"/>
    <mergeCell ref="V244:V245"/>
    <mergeCell ref="A246:A247"/>
    <mergeCell ref="B246:B247"/>
    <mergeCell ref="C246:C247"/>
    <mergeCell ref="D246:D247"/>
    <mergeCell ref="E246:E247"/>
    <mergeCell ref="F246:F247"/>
    <mergeCell ref="M246:M247"/>
    <mergeCell ref="N246:N247"/>
    <mergeCell ref="O246:O247"/>
    <mergeCell ref="O244:O245"/>
    <mergeCell ref="Q244:Q245"/>
    <mergeCell ref="R244:R245"/>
    <mergeCell ref="S244:S245"/>
    <mergeCell ref="T244:T245"/>
    <mergeCell ref="U244:U245"/>
    <mergeCell ref="U250:U251"/>
    <mergeCell ref="V250:V251"/>
    <mergeCell ref="A252:A253"/>
    <mergeCell ref="B252:B253"/>
    <mergeCell ref="C252:C253"/>
    <mergeCell ref="D252:D253"/>
    <mergeCell ref="E252:E253"/>
    <mergeCell ref="F252:F253"/>
    <mergeCell ref="M252:M253"/>
    <mergeCell ref="N252:N253"/>
    <mergeCell ref="N250:N251"/>
    <mergeCell ref="O250:O251"/>
    <mergeCell ref="Q250:Q251"/>
    <mergeCell ref="R250:R251"/>
    <mergeCell ref="S250:S251"/>
    <mergeCell ref="T250:T251"/>
    <mergeCell ref="T248:T249"/>
    <mergeCell ref="U248:U249"/>
    <mergeCell ref="V248:V249"/>
    <mergeCell ref="A250:A251"/>
    <mergeCell ref="B250:B251"/>
    <mergeCell ref="C250:C251"/>
    <mergeCell ref="D250:D251"/>
    <mergeCell ref="E250:E251"/>
    <mergeCell ref="F250:F251"/>
    <mergeCell ref="M250:M251"/>
    <mergeCell ref="M248:M249"/>
    <mergeCell ref="N248:N249"/>
    <mergeCell ref="O248:O249"/>
    <mergeCell ref="Q248:Q249"/>
    <mergeCell ref="R248:R249"/>
    <mergeCell ref="S248:S249"/>
    <mergeCell ref="A256:A257"/>
    <mergeCell ref="B256:B257"/>
    <mergeCell ref="C256:C257"/>
    <mergeCell ref="D256:D257"/>
    <mergeCell ref="E256:E257"/>
    <mergeCell ref="F256:F257"/>
    <mergeCell ref="Q254:Q255"/>
    <mergeCell ref="R254:R255"/>
    <mergeCell ref="S254:S255"/>
    <mergeCell ref="T254:T255"/>
    <mergeCell ref="U254:U255"/>
    <mergeCell ref="V254:V255"/>
    <mergeCell ref="V252:V253"/>
    <mergeCell ref="A254:A255"/>
    <mergeCell ref="B254:B255"/>
    <mergeCell ref="C254:C255"/>
    <mergeCell ref="D254:D255"/>
    <mergeCell ref="E254:E255"/>
    <mergeCell ref="F254:F255"/>
    <mergeCell ref="M254:M255"/>
    <mergeCell ref="N254:N255"/>
    <mergeCell ref="O254:O255"/>
    <mergeCell ref="O252:O253"/>
    <mergeCell ref="Q252:Q253"/>
    <mergeCell ref="R252:R253"/>
    <mergeCell ref="S252:S253"/>
    <mergeCell ref="T252:T253"/>
    <mergeCell ref="U252:U253"/>
    <mergeCell ref="U258:U259"/>
    <mergeCell ref="V258:V259"/>
    <mergeCell ref="A260:A261"/>
    <mergeCell ref="B260:B261"/>
    <mergeCell ref="C260:C261"/>
    <mergeCell ref="D260:D261"/>
    <mergeCell ref="E260:E261"/>
    <mergeCell ref="F260:F261"/>
    <mergeCell ref="M260:M261"/>
    <mergeCell ref="N260:N261"/>
    <mergeCell ref="N258:N259"/>
    <mergeCell ref="O258:O259"/>
    <mergeCell ref="Q258:Q259"/>
    <mergeCell ref="R258:R259"/>
    <mergeCell ref="S258:S259"/>
    <mergeCell ref="T258:T259"/>
    <mergeCell ref="T256:T257"/>
    <mergeCell ref="U256:U257"/>
    <mergeCell ref="V256:V257"/>
    <mergeCell ref="A258:A259"/>
    <mergeCell ref="B258:B259"/>
    <mergeCell ref="C258:C259"/>
    <mergeCell ref="D258:D259"/>
    <mergeCell ref="E258:E259"/>
    <mergeCell ref="F258:F259"/>
    <mergeCell ref="M258:M259"/>
    <mergeCell ref="M256:M257"/>
    <mergeCell ref="N256:N257"/>
    <mergeCell ref="O256:O257"/>
    <mergeCell ref="Q256:Q257"/>
    <mergeCell ref="R256:R257"/>
    <mergeCell ref="S256:S257"/>
    <mergeCell ref="A264:A265"/>
    <mergeCell ref="B264:B265"/>
    <mergeCell ref="C264:C265"/>
    <mergeCell ref="D264:D265"/>
    <mergeCell ref="E264:E265"/>
    <mergeCell ref="F264:F265"/>
    <mergeCell ref="Q262:Q263"/>
    <mergeCell ref="R262:R263"/>
    <mergeCell ref="S262:S263"/>
    <mergeCell ref="T262:T263"/>
    <mergeCell ref="U262:U263"/>
    <mergeCell ref="V262:V263"/>
    <mergeCell ref="V260:V261"/>
    <mergeCell ref="A262:A263"/>
    <mergeCell ref="B262:B263"/>
    <mergeCell ref="C262:C263"/>
    <mergeCell ref="D262:D263"/>
    <mergeCell ref="E262:E263"/>
    <mergeCell ref="F262:F263"/>
    <mergeCell ref="M262:M263"/>
    <mergeCell ref="N262:N263"/>
    <mergeCell ref="O262:O263"/>
    <mergeCell ref="O260:O261"/>
    <mergeCell ref="Q260:Q261"/>
    <mergeCell ref="R260:R261"/>
    <mergeCell ref="S260:S261"/>
    <mergeCell ref="T260:T261"/>
    <mergeCell ref="U260:U261"/>
    <mergeCell ref="U266:U267"/>
    <mergeCell ref="V266:V267"/>
    <mergeCell ref="A268:A269"/>
    <mergeCell ref="B268:B269"/>
    <mergeCell ref="C268:C269"/>
    <mergeCell ref="D268:D269"/>
    <mergeCell ref="E268:E269"/>
    <mergeCell ref="F268:F269"/>
    <mergeCell ref="M268:M269"/>
    <mergeCell ref="N268:N269"/>
    <mergeCell ref="N266:N267"/>
    <mergeCell ref="O266:O267"/>
    <mergeCell ref="Q266:Q267"/>
    <mergeCell ref="R266:R267"/>
    <mergeCell ref="S266:S267"/>
    <mergeCell ref="T266:T267"/>
    <mergeCell ref="T264:T265"/>
    <mergeCell ref="U264:U265"/>
    <mergeCell ref="V264:V265"/>
    <mergeCell ref="A266:A267"/>
    <mergeCell ref="B266:B267"/>
    <mergeCell ref="C266:C267"/>
    <mergeCell ref="D266:D267"/>
    <mergeCell ref="E266:E267"/>
    <mergeCell ref="F266:F267"/>
    <mergeCell ref="M266:M267"/>
    <mergeCell ref="M264:M265"/>
    <mergeCell ref="N264:N265"/>
    <mergeCell ref="O264:O265"/>
    <mergeCell ref="Q264:Q265"/>
    <mergeCell ref="R264:R265"/>
    <mergeCell ref="S264:S265"/>
    <mergeCell ref="A272:A273"/>
    <mergeCell ref="B272:B273"/>
    <mergeCell ref="C272:C273"/>
    <mergeCell ref="D272:D273"/>
    <mergeCell ref="E272:E273"/>
    <mergeCell ref="F272:F273"/>
    <mergeCell ref="Q270:Q271"/>
    <mergeCell ref="R270:R271"/>
    <mergeCell ref="S270:S271"/>
    <mergeCell ref="T270:T271"/>
    <mergeCell ref="U270:U271"/>
    <mergeCell ref="V270:V271"/>
    <mergeCell ref="V268:V269"/>
    <mergeCell ref="A270:A271"/>
    <mergeCell ref="B270:B271"/>
    <mergeCell ref="C270:C271"/>
    <mergeCell ref="D270:D271"/>
    <mergeCell ref="E270:E271"/>
    <mergeCell ref="F270:F271"/>
    <mergeCell ref="M270:M271"/>
    <mergeCell ref="N270:N271"/>
    <mergeCell ref="O270:O271"/>
    <mergeCell ref="O268:O269"/>
    <mergeCell ref="Q268:Q269"/>
    <mergeCell ref="R268:R269"/>
    <mergeCell ref="S268:S269"/>
    <mergeCell ref="T268:T269"/>
    <mergeCell ref="U268:U269"/>
    <mergeCell ref="U274:U275"/>
    <mergeCell ref="V274:V275"/>
    <mergeCell ref="A276:A277"/>
    <mergeCell ref="B276:B277"/>
    <mergeCell ref="C276:C277"/>
    <mergeCell ref="D276:D277"/>
    <mergeCell ref="E276:E277"/>
    <mergeCell ref="F276:F277"/>
    <mergeCell ref="M276:M277"/>
    <mergeCell ref="N276:N277"/>
    <mergeCell ref="N274:N275"/>
    <mergeCell ref="O274:O275"/>
    <mergeCell ref="Q274:Q275"/>
    <mergeCell ref="R274:R275"/>
    <mergeCell ref="S274:S275"/>
    <mergeCell ref="T274:T275"/>
    <mergeCell ref="T272:T273"/>
    <mergeCell ref="U272:U273"/>
    <mergeCell ref="V272:V273"/>
    <mergeCell ref="A274:A275"/>
    <mergeCell ref="B274:B275"/>
    <mergeCell ref="C274:C275"/>
    <mergeCell ref="D274:D275"/>
    <mergeCell ref="E274:E275"/>
    <mergeCell ref="F274:F275"/>
    <mergeCell ref="M274:M275"/>
    <mergeCell ref="M272:M273"/>
    <mergeCell ref="N272:N273"/>
    <mergeCell ref="O272:O273"/>
    <mergeCell ref="Q272:Q273"/>
    <mergeCell ref="R272:R273"/>
    <mergeCell ref="S272:S273"/>
    <mergeCell ref="A280:A281"/>
    <mergeCell ref="B280:B281"/>
    <mergeCell ref="C280:C281"/>
    <mergeCell ref="D280:D281"/>
    <mergeCell ref="E280:E281"/>
    <mergeCell ref="F280:F281"/>
    <mergeCell ref="Q278:Q279"/>
    <mergeCell ref="R278:R279"/>
    <mergeCell ref="S278:S279"/>
    <mergeCell ref="T278:T279"/>
    <mergeCell ref="U278:U279"/>
    <mergeCell ref="V278:V279"/>
    <mergeCell ref="V276:V277"/>
    <mergeCell ref="A278:A279"/>
    <mergeCell ref="B278:B279"/>
    <mergeCell ref="C278:C279"/>
    <mergeCell ref="D278:D279"/>
    <mergeCell ref="E278:E279"/>
    <mergeCell ref="F278:F279"/>
    <mergeCell ref="M278:M279"/>
    <mergeCell ref="N278:N279"/>
    <mergeCell ref="O278:O279"/>
    <mergeCell ref="O276:O277"/>
    <mergeCell ref="Q276:Q277"/>
    <mergeCell ref="R276:R277"/>
    <mergeCell ref="S276:S277"/>
    <mergeCell ref="T276:T277"/>
    <mergeCell ref="U276:U277"/>
    <mergeCell ref="U282:U283"/>
    <mergeCell ref="V282:V283"/>
    <mergeCell ref="A284:A285"/>
    <mergeCell ref="B284:B285"/>
    <mergeCell ref="C284:C285"/>
    <mergeCell ref="D284:D285"/>
    <mergeCell ref="E284:E285"/>
    <mergeCell ref="F284:F285"/>
    <mergeCell ref="M284:M285"/>
    <mergeCell ref="N284:N285"/>
    <mergeCell ref="N282:N283"/>
    <mergeCell ref="O282:O283"/>
    <mergeCell ref="Q282:Q283"/>
    <mergeCell ref="R282:R283"/>
    <mergeCell ref="S282:S283"/>
    <mergeCell ref="T282:T283"/>
    <mergeCell ref="T280:T281"/>
    <mergeCell ref="U280:U281"/>
    <mergeCell ref="V280:V281"/>
    <mergeCell ref="A282:A283"/>
    <mergeCell ref="B282:B283"/>
    <mergeCell ref="C282:C283"/>
    <mergeCell ref="D282:D283"/>
    <mergeCell ref="E282:E283"/>
    <mergeCell ref="F282:F283"/>
    <mergeCell ref="M282:M283"/>
    <mergeCell ref="M280:M281"/>
    <mergeCell ref="N280:N281"/>
    <mergeCell ref="O280:O281"/>
    <mergeCell ref="Q280:Q281"/>
    <mergeCell ref="R280:R281"/>
    <mergeCell ref="S280:S281"/>
    <mergeCell ref="A288:A289"/>
    <mergeCell ref="B288:B289"/>
    <mergeCell ref="C288:C289"/>
    <mergeCell ref="D288:D289"/>
    <mergeCell ref="E288:E289"/>
    <mergeCell ref="F288:F289"/>
    <mergeCell ref="Q286:Q287"/>
    <mergeCell ref="R286:R287"/>
    <mergeCell ref="S286:S287"/>
    <mergeCell ref="T286:T287"/>
    <mergeCell ref="U286:U287"/>
    <mergeCell ref="V286:V287"/>
    <mergeCell ref="V284:V285"/>
    <mergeCell ref="A286:A287"/>
    <mergeCell ref="B286:B287"/>
    <mergeCell ref="C286:C287"/>
    <mergeCell ref="D286:D287"/>
    <mergeCell ref="E286:E287"/>
    <mergeCell ref="F286:F287"/>
    <mergeCell ref="M286:M287"/>
    <mergeCell ref="N286:N287"/>
    <mergeCell ref="O286:O287"/>
    <mergeCell ref="O284:O285"/>
    <mergeCell ref="Q284:Q285"/>
    <mergeCell ref="R284:R285"/>
    <mergeCell ref="S284:S285"/>
    <mergeCell ref="T284:T285"/>
    <mergeCell ref="U284:U285"/>
    <mergeCell ref="U290:U291"/>
    <mergeCell ref="V290:V291"/>
    <mergeCell ref="A292:A293"/>
    <mergeCell ref="B292:B293"/>
    <mergeCell ref="C292:C293"/>
    <mergeCell ref="D292:D293"/>
    <mergeCell ref="E292:E293"/>
    <mergeCell ref="F292:F293"/>
    <mergeCell ref="M292:M293"/>
    <mergeCell ref="N292:N293"/>
    <mergeCell ref="N290:N291"/>
    <mergeCell ref="O290:O291"/>
    <mergeCell ref="Q290:Q291"/>
    <mergeCell ref="R290:R291"/>
    <mergeCell ref="S290:S291"/>
    <mergeCell ref="T290:T291"/>
    <mergeCell ref="T288:T289"/>
    <mergeCell ref="U288:U289"/>
    <mergeCell ref="V288:V289"/>
    <mergeCell ref="A290:A291"/>
    <mergeCell ref="B290:B291"/>
    <mergeCell ref="C290:C291"/>
    <mergeCell ref="D290:D291"/>
    <mergeCell ref="E290:E291"/>
    <mergeCell ref="F290:F291"/>
    <mergeCell ref="M290:M291"/>
    <mergeCell ref="M288:M289"/>
    <mergeCell ref="N288:N289"/>
    <mergeCell ref="O288:O289"/>
    <mergeCell ref="Q288:Q289"/>
    <mergeCell ref="R288:R289"/>
    <mergeCell ref="S288:S289"/>
    <mergeCell ref="Q294:Q295"/>
    <mergeCell ref="R294:R295"/>
    <mergeCell ref="S294:S295"/>
    <mergeCell ref="T294:T295"/>
    <mergeCell ref="U294:U295"/>
    <mergeCell ref="V294:V295"/>
    <mergeCell ref="V292:V293"/>
    <mergeCell ref="A294:A295"/>
    <mergeCell ref="B294:B295"/>
    <mergeCell ref="C294:C295"/>
    <mergeCell ref="D294:D295"/>
    <mergeCell ref="E294:E295"/>
    <mergeCell ref="F294:F295"/>
    <mergeCell ref="M294:M295"/>
    <mergeCell ref="N294:N295"/>
    <mergeCell ref="O294:O295"/>
    <mergeCell ref="O292:O293"/>
    <mergeCell ref="Q292:Q293"/>
    <mergeCell ref="R292:R293"/>
    <mergeCell ref="S292:S293"/>
    <mergeCell ref="T292:T293"/>
    <mergeCell ref="U292:U293"/>
    <mergeCell ref="T296:T297"/>
    <mergeCell ref="U296:U297"/>
    <mergeCell ref="A298:A299"/>
    <mergeCell ref="B298:B299"/>
    <mergeCell ref="C298:C299"/>
    <mergeCell ref="D298:D299"/>
    <mergeCell ref="E298:E299"/>
    <mergeCell ref="F298:F299"/>
    <mergeCell ref="M298:M299"/>
    <mergeCell ref="N298:N299"/>
    <mergeCell ref="M296:M297"/>
    <mergeCell ref="N296:N297"/>
    <mergeCell ref="O296:O297"/>
    <mergeCell ref="Q296:Q297"/>
    <mergeCell ref="R296:R297"/>
    <mergeCell ref="S296:S297"/>
    <mergeCell ref="A296:A297"/>
    <mergeCell ref="B296:B297"/>
    <mergeCell ref="C296:C297"/>
    <mergeCell ref="D296:D297"/>
    <mergeCell ref="E296:E297"/>
    <mergeCell ref="F296:F297"/>
    <mergeCell ref="A302:A303"/>
    <mergeCell ref="B302:B303"/>
    <mergeCell ref="C302:C303"/>
    <mergeCell ref="D302:D303"/>
    <mergeCell ref="E302:E303"/>
    <mergeCell ref="F302:F303"/>
    <mergeCell ref="Q300:Q301"/>
    <mergeCell ref="R300:R301"/>
    <mergeCell ref="S300:S301"/>
    <mergeCell ref="T300:T301"/>
    <mergeCell ref="U300:U301"/>
    <mergeCell ref="V300:V301"/>
    <mergeCell ref="V298:V299"/>
    <mergeCell ref="A300:A301"/>
    <mergeCell ref="B300:B301"/>
    <mergeCell ref="C300:C301"/>
    <mergeCell ref="D300:D301"/>
    <mergeCell ref="E300:E301"/>
    <mergeCell ref="F300:F301"/>
    <mergeCell ref="M300:M301"/>
    <mergeCell ref="N300:N301"/>
    <mergeCell ref="O300:O301"/>
    <mergeCell ref="O298:O299"/>
    <mergeCell ref="Q298:Q299"/>
    <mergeCell ref="R298:R299"/>
    <mergeCell ref="S298:S299"/>
    <mergeCell ref="T298:T299"/>
    <mergeCell ref="U298:U299"/>
    <mergeCell ref="U304:U305"/>
    <mergeCell ref="V304:V305"/>
    <mergeCell ref="A306:A307"/>
    <mergeCell ref="B306:B307"/>
    <mergeCell ref="C306:C307"/>
    <mergeCell ref="D306:D307"/>
    <mergeCell ref="E306:E307"/>
    <mergeCell ref="F306:F307"/>
    <mergeCell ref="M306:M307"/>
    <mergeCell ref="N306:N307"/>
    <mergeCell ref="N304:N305"/>
    <mergeCell ref="O304:O305"/>
    <mergeCell ref="Q304:Q305"/>
    <mergeCell ref="R304:R305"/>
    <mergeCell ref="S304:S305"/>
    <mergeCell ref="T304:T305"/>
    <mergeCell ref="T302:T303"/>
    <mergeCell ref="U302:U303"/>
    <mergeCell ref="V302:V303"/>
    <mergeCell ref="A304:A305"/>
    <mergeCell ref="B304:B305"/>
    <mergeCell ref="C304:C305"/>
    <mergeCell ref="D304:D305"/>
    <mergeCell ref="E304:E305"/>
    <mergeCell ref="F304:F305"/>
    <mergeCell ref="M304:M305"/>
    <mergeCell ref="M302:M303"/>
    <mergeCell ref="N302:N303"/>
    <mergeCell ref="O302:O303"/>
    <mergeCell ref="Q302:Q303"/>
    <mergeCell ref="R302:R303"/>
    <mergeCell ref="S302:S303"/>
    <mergeCell ref="A310:A311"/>
    <mergeCell ref="B310:B311"/>
    <mergeCell ref="C310:C311"/>
    <mergeCell ref="D310:D311"/>
    <mergeCell ref="E310:E311"/>
    <mergeCell ref="F310:F311"/>
    <mergeCell ref="Q308:Q309"/>
    <mergeCell ref="R308:R309"/>
    <mergeCell ref="S308:S309"/>
    <mergeCell ref="T308:T309"/>
    <mergeCell ref="U308:U309"/>
    <mergeCell ref="V308:V309"/>
    <mergeCell ref="V306:V307"/>
    <mergeCell ref="A308:A309"/>
    <mergeCell ref="B308:B309"/>
    <mergeCell ref="C308:C309"/>
    <mergeCell ref="D308:D309"/>
    <mergeCell ref="E308:E309"/>
    <mergeCell ref="F308:F309"/>
    <mergeCell ref="M308:M309"/>
    <mergeCell ref="N308:N309"/>
    <mergeCell ref="O308:O309"/>
    <mergeCell ref="O306:O307"/>
    <mergeCell ref="Q306:Q307"/>
    <mergeCell ref="R306:R307"/>
    <mergeCell ref="S306:S307"/>
    <mergeCell ref="T306:T307"/>
    <mergeCell ref="U306:U307"/>
    <mergeCell ref="U312:U314"/>
    <mergeCell ref="V312:V314"/>
    <mergeCell ref="A315:A316"/>
    <mergeCell ref="B315:B316"/>
    <mergeCell ref="C315:C316"/>
    <mergeCell ref="D315:D316"/>
    <mergeCell ref="E315:E316"/>
    <mergeCell ref="F315:F316"/>
    <mergeCell ref="M315:M316"/>
    <mergeCell ref="N315:N316"/>
    <mergeCell ref="N312:N314"/>
    <mergeCell ref="O312:O314"/>
    <mergeCell ref="Q312:Q314"/>
    <mergeCell ref="R312:R314"/>
    <mergeCell ref="S312:S314"/>
    <mergeCell ref="T312:T314"/>
    <mergeCell ref="T310:T311"/>
    <mergeCell ref="U310:U311"/>
    <mergeCell ref="V310:V311"/>
    <mergeCell ref="A312:A314"/>
    <mergeCell ref="B312:B314"/>
    <mergeCell ref="C312:C314"/>
    <mergeCell ref="D312:D314"/>
    <mergeCell ref="E312:E314"/>
    <mergeCell ref="F312:F314"/>
    <mergeCell ref="M312:M314"/>
    <mergeCell ref="M310:M311"/>
    <mergeCell ref="N310:N311"/>
    <mergeCell ref="O310:O311"/>
    <mergeCell ref="Q310:Q311"/>
    <mergeCell ref="R310:R311"/>
    <mergeCell ref="S310:S311"/>
    <mergeCell ref="A319:A320"/>
    <mergeCell ref="B319:B320"/>
    <mergeCell ref="C319:C320"/>
    <mergeCell ref="D319:D320"/>
    <mergeCell ref="E319:E320"/>
    <mergeCell ref="F319:F320"/>
    <mergeCell ref="Q317:Q318"/>
    <mergeCell ref="R317:R318"/>
    <mergeCell ref="S317:S318"/>
    <mergeCell ref="T317:T318"/>
    <mergeCell ref="U317:U318"/>
    <mergeCell ref="V317:V318"/>
    <mergeCell ref="V315:V316"/>
    <mergeCell ref="A317:A318"/>
    <mergeCell ref="B317:B318"/>
    <mergeCell ref="C317:C318"/>
    <mergeCell ref="D317:D318"/>
    <mergeCell ref="E317:E318"/>
    <mergeCell ref="F317:F318"/>
    <mergeCell ref="M317:M318"/>
    <mergeCell ref="N317:N318"/>
    <mergeCell ref="O317:O318"/>
    <mergeCell ref="O315:O316"/>
    <mergeCell ref="Q315:Q316"/>
    <mergeCell ref="R315:R316"/>
    <mergeCell ref="S315:S316"/>
    <mergeCell ref="T315:T316"/>
    <mergeCell ref="U315:U316"/>
    <mergeCell ref="U321:U322"/>
    <mergeCell ref="V321:V322"/>
    <mergeCell ref="A323:A324"/>
    <mergeCell ref="B323:B324"/>
    <mergeCell ref="C323:C324"/>
    <mergeCell ref="D323:D324"/>
    <mergeCell ref="E323:E324"/>
    <mergeCell ref="F323:F324"/>
    <mergeCell ref="M323:M324"/>
    <mergeCell ref="N323:N324"/>
    <mergeCell ref="N321:N322"/>
    <mergeCell ref="O321:O322"/>
    <mergeCell ref="Q321:Q322"/>
    <mergeCell ref="R321:R322"/>
    <mergeCell ref="S321:S322"/>
    <mergeCell ref="T321:T322"/>
    <mergeCell ref="T319:T320"/>
    <mergeCell ref="U319:U320"/>
    <mergeCell ref="V319:V320"/>
    <mergeCell ref="A321:A322"/>
    <mergeCell ref="B321:B322"/>
    <mergeCell ref="C321:C322"/>
    <mergeCell ref="D321:D322"/>
    <mergeCell ref="E321:E322"/>
    <mergeCell ref="F321:F322"/>
    <mergeCell ref="M321:M322"/>
    <mergeCell ref="M319:M320"/>
    <mergeCell ref="N319:N320"/>
    <mergeCell ref="O319:O320"/>
    <mergeCell ref="Q319:Q320"/>
    <mergeCell ref="R319:R320"/>
    <mergeCell ref="S319:S320"/>
    <mergeCell ref="A327:A328"/>
    <mergeCell ref="B327:B328"/>
    <mergeCell ref="C327:C328"/>
    <mergeCell ref="D327:D328"/>
    <mergeCell ref="E327:E328"/>
    <mergeCell ref="F327:F328"/>
    <mergeCell ref="Q325:Q326"/>
    <mergeCell ref="R325:R326"/>
    <mergeCell ref="S325:S326"/>
    <mergeCell ref="T325:T326"/>
    <mergeCell ref="U325:U326"/>
    <mergeCell ref="V325:V326"/>
    <mergeCell ref="V323:V324"/>
    <mergeCell ref="A325:A326"/>
    <mergeCell ref="B325:B326"/>
    <mergeCell ref="C325:C326"/>
    <mergeCell ref="D325:D326"/>
    <mergeCell ref="E325:E326"/>
    <mergeCell ref="F325:F326"/>
    <mergeCell ref="M325:M326"/>
    <mergeCell ref="N325:N326"/>
    <mergeCell ref="O325:O326"/>
    <mergeCell ref="O323:O324"/>
    <mergeCell ref="Q323:Q324"/>
    <mergeCell ref="R323:R324"/>
    <mergeCell ref="S323:S324"/>
    <mergeCell ref="T323:T324"/>
    <mergeCell ref="U323:U324"/>
    <mergeCell ref="U329:U330"/>
    <mergeCell ref="V329:V330"/>
    <mergeCell ref="A331:A332"/>
    <mergeCell ref="B331:B332"/>
    <mergeCell ref="C331:C332"/>
    <mergeCell ref="D331:D332"/>
    <mergeCell ref="E331:E332"/>
    <mergeCell ref="F331:F332"/>
    <mergeCell ref="M331:M332"/>
    <mergeCell ref="N331:N332"/>
    <mergeCell ref="N329:N330"/>
    <mergeCell ref="O329:O330"/>
    <mergeCell ref="Q329:Q330"/>
    <mergeCell ref="R329:R330"/>
    <mergeCell ref="S329:S330"/>
    <mergeCell ref="T329:T330"/>
    <mergeCell ref="T327:T328"/>
    <mergeCell ref="U327:U328"/>
    <mergeCell ref="V327:V328"/>
    <mergeCell ref="A329:A330"/>
    <mergeCell ref="B329:B330"/>
    <mergeCell ref="C329:C330"/>
    <mergeCell ref="D329:D330"/>
    <mergeCell ref="E329:E330"/>
    <mergeCell ref="F329:F330"/>
    <mergeCell ref="M329:M330"/>
    <mergeCell ref="M327:M328"/>
    <mergeCell ref="N327:N328"/>
    <mergeCell ref="O327:O328"/>
    <mergeCell ref="Q327:Q328"/>
    <mergeCell ref="R327:R328"/>
    <mergeCell ref="S327:S328"/>
    <mergeCell ref="V331:V332"/>
    <mergeCell ref="A333:A334"/>
    <mergeCell ref="B333:B334"/>
    <mergeCell ref="C333:C334"/>
    <mergeCell ref="D333:D334"/>
    <mergeCell ref="M333:M334"/>
    <mergeCell ref="N333:N334"/>
    <mergeCell ref="O333:O334"/>
    <mergeCell ref="Q333:Q334"/>
    <mergeCell ref="R333:R334"/>
    <mergeCell ref="O331:O332"/>
    <mergeCell ref="Q331:Q332"/>
    <mergeCell ref="R331:R332"/>
    <mergeCell ref="S331:S332"/>
    <mergeCell ref="T331:T332"/>
    <mergeCell ref="U331:U332"/>
    <mergeCell ref="T335:T336"/>
    <mergeCell ref="U335:U336"/>
    <mergeCell ref="E337:E338"/>
    <mergeCell ref="F337:F338"/>
    <mergeCell ref="M337:M338"/>
    <mergeCell ref="N337:N338"/>
    <mergeCell ref="M335:M336"/>
    <mergeCell ref="N335:N336"/>
    <mergeCell ref="O335:O336"/>
    <mergeCell ref="Q335:Q336"/>
    <mergeCell ref="R335:R336"/>
    <mergeCell ref="S335:S336"/>
    <mergeCell ref="S333:S334"/>
    <mergeCell ref="T333:T334"/>
    <mergeCell ref="U333:U334"/>
    <mergeCell ref="V333:V334"/>
    <mergeCell ref="A335:A336"/>
    <mergeCell ref="B335:B336"/>
    <mergeCell ref="C335:C336"/>
    <mergeCell ref="D335:D336"/>
    <mergeCell ref="E335:E336"/>
    <mergeCell ref="F335:F336"/>
    <mergeCell ref="A341:A343"/>
    <mergeCell ref="B341:B343"/>
    <mergeCell ref="C341:C343"/>
    <mergeCell ref="D341:D343"/>
    <mergeCell ref="E341:E343"/>
    <mergeCell ref="F341:F343"/>
    <mergeCell ref="Q339:Q340"/>
    <mergeCell ref="R339:R340"/>
    <mergeCell ref="S339:S340"/>
    <mergeCell ref="T339:T340"/>
    <mergeCell ref="U339:U340"/>
    <mergeCell ref="V339:V340"/>
    <mergeCell ref="V337:V338"/>
    <mergeCell ref="A339:A340"/>
    <mergeCell ref="B339:B340"/>
    <mergeCell ref="C339:C340"/>
    <mergeCell ref="D339:D340"/>
    <mergeCell ref="E339:E340"/>
    <mergeCell ref="F339:F340"/>
    <mergeCell ref="M339:M340"/>
    <mergeCell ref="N339:N340"/>
    <mergeCell ref="O339:O340"/>
    <mergeCell ref="O337:O338"/>
    <mergeCell ref="Q337:Q338"/>
    <mergeCell ref="R337:R338"/>
    <mergeCell ref="S337:S338"/>
    <mergeCell ref="T337:T338"/>
    <mergeCell ref="U337:U338"/>
    <mergeCell ref="A337:A338"/>
    <mergeCell ref="B337:B338"/>
    <mergeCell ref="C337:C338"/>
    <mergeCell ref="D337:D338"/>
    <mergeCell ref="U344:U346"/>
    <mergeCell ref="V344:V346"/>
    <mergeCell ref="A347:A348"/>
    <mergeCell ref="B347:B348"/>
    <mergeCell ref="C347:C348"/>
    <mergeCell ref="D347:D348"/>
    <mergeCell ref="E347:E348"/>
    <mergeCell ref="F347:F348"/>
    <mergeCell ref="M347:M348"/>
    <mergeCell ref="N347:N348"/>
    <mergeCell ref="N344:N346"/>
    <mergeCell ref="O344:O346"/>
    <mergeCell ref="Q344:Q346"/>
    <mergeCell ref="R344:R346"/>
    <mergeCell ref="S344:S346"/>
    <mergeCell ref="T344:T346"/>
    <mergeCell ref="T341:T343"/>
    <mergeCell ref="U341:U343"/>
    <mergeCell ref="V341:V343"/>
    <mergeCell ref="A344:A346"/>
    <mergeCell ref="B344:B346"/>
    <mergeCell ref="C344:C346"/>
    <mergeCell ref="D344:D346"/>
    <mergeCell ref="E344:E346"/>
    <mergeCell ref="F344:F346"/>
    <mergeCell ref="M344:M346"/>
    <mergeCell ref="M341:M343"/>
    <mergeCell ref="N341:N343"/>
    <mergeCell ref="O341:O343"/>
    <mergeCell ref="Q341:Q343"/>
    <mergeCell ref="R341:R343"/>
    <mergeCell ref="S341:S343"/>
    <mergeCell ref="A351:A352"/>
    <mergeCell ref="B351:B352"/>
    <mergeCell ref="C351:C352"/>
    <mergeCell ref="D351:D352"/>
    <mergeCell ref="E351:E352"/>
    <mergeCell ref="F351:F352"/>
    <mergeCell ref="Q349:Q350"/>
    <mergeCell ref="R349:R350"/>
    <mergeCell ref="S349:S350"/>
    <mergeCell ref="T349:T350"/>
    <mergeCell ref="U349:U350"/>
    <mergeCell ref="V349:V350"/>
    <mergeCell ref="V347:V348"/>
    <mergeCell ref="A349:A350"/>
    <mergeCell ref="B349:B350"/>
    <mergeCell ref="C349:C350"/>
    <mergeCell ref="D349:D350"/>
    <mergeCell ref="E349:E350"/>
    <mergeCell ref="F349:F350"/>
    <mergeCell ref="M349:M350"/>
    <mergeCell ref="N349:N350"/>
    <mergeCell ref="O349:O350"/>
    <mergeCell ref="O347:O348"/>
    <mergeCell ref="Q347:Q348"/>
    <mergeCell ref="R347:R348"/>
    <mergeCell ref="S347:S348"/>
    <mergeCell ref="T347:T348"/>
    <mergeCell ref="U347:U348"/>
    <mergeCell ref="U353:U354"/>
    <mergeCell ref="V353:V354"/>
    <mergeCell ref="A355:A356"/>
    <mergeCell ref="B355:B356"/>
    <mergeCell ref="C355:C356"/>
    <mergeCell ref="D355:D356"/>
    <mergeCell ref="E355:E356"/>
    <mergeCell ref="F355:F356"/>
    <mergeCell ref="M355:M356"/>
    <mergeCell ref="N355:N356"/>
    <mergeCell ref="N353:N354"/>
    <mergeCell ref="O353:O354"/>
    <mergeCell ref="Q353:Q354"/>
    <mergeCell ref="R353:R354"/>
    <mergeCell ref="S353:S354"/>
    <mergeCell ref="T353:T354"/>
    <mergeCell ref="T351:T352"/>
    <mergeCell ref="U351:U352"/>
    <mergeCell ref="V351:V352"/>
    <mergeCell ref="A353:A354"/>
    <mergeCell ref="B353:B354"/>
    <mergeCell ref="C353:C354"/>
    <mergeCell ref="D353:D354"/>
    <mergeCell ref="E353:E354"/>
    <mergeCell ref="F353:F354"/>
    <mergeCell ref="M353:M354"/>
    <mergeCell ref="M351:M352"/>
    <mergeCell ref="N351:N352"/>
    <mergeCell ref="O351:O352"/>
    <mergeCell ref="Q351:Q352"/>
    <mergeCell ref="R351:R352"/>
    <mergeCell ref="S351:S352"/>
    <mergeCell ref="A359:A360"/>
    <mergeCell ref="B359:B360"/>
    <mergeCell ref="C359:C360"/>
    <mergeCell ref="D359:D360"/>
    <mergeCell ref="E359:E360"/>
    <mergeCell ref="F359:F360"/>
    <mergeCell ref="Q357:Q358"/>
    <mergeCell ref="R357:R358"/>
    <mergeCell ref="S357:S358"/>
    <mergeCell ref="T357:T358"/>
    <mergeCell ref="U357:U358"/>
    <mergeCell ref="V357:V358"/>
    <mergeCell ref="V355:V356"/>
    <mergeCell ref="A357:A358"/>
    <mergeCell ref="B357:B358"/>
    <mergeCell ref="C357:C358"/>
    <mergeCell ref="D357:D358"/>
    <mergeCell ref="E357:E358"/>
    <mergeCell ref="F357:F358"/>
    <mergeCell ref="M357:M358"/>
    <mergeCell ref="N357:N358"/>
    <mergeCell ref="O357:O358"/>
    <mergeCell ref="O355:O356"/>
    <mergeCell ref="Q355:Q356"/>
    <mergeCell ref="R355:R356"/>
    <mergeCell ref="S355:S356"/>
    <mergeCell ref="T355:T356"/>
    <mergeCell ref="U355:U356"/>
    <mergeCell ref="U361:U362"/>
    <mergeCell ref="V361:V362"/>
    <mergeCell ref="A363:A364"/>
    <mergeCell ref="B363:B364"/>
    <mergeCell ref="C363:C364"/>
    <mergeCell ref="D363:D364"/>
    <mergeCell ref="E363:E364"/>
    <mergeCell ref="F363:F364"/>
    <mergeCell ref="M363:M364"/>
    <mergeCell ref="N363:N364"/>
    <mergeCell ref="N361:N362"/>
    <mergeCell ref="O361:O362"/>
    <mergeCell ref="Q361:Q362"/>
    <mergeCell ref="R361:R362"/>
    <mergeCell ref="S361:S362"/>
    <mergeCell ref="T361:T362"/>
    <mergeCell ref="T359:T360"/>
    <mergeCell ref="U359:U360"/>
    <mergeCell ref="V359:V360"/>
    <mergeCell ref="A361:A362"/>
    <mergeCell ref="B361:B362"/>
    <mergeCell ref="C361:C362"/>
    <mergeCell ref="D361:D362"/>
    <mergeCell ref="E361:E362"/>
    <mergeCell ref="F361:F362"/>
    <mergeCell ref="M361:M362"/>
    <mergeCell ref="M359:M360"/>
    <mergeCell ref="N359:N360"/>
    <mergeCell ref="O359:O360"/>
    <mergeCell ref="Q359:Q360"/>
    <mergeCell ref="R359:R360"/>
    <mergeCell ref="S359:S360"/>
    <mergeCell ref="A367:A368"/>
    <mergeCell ref="B367:B368"/>
    <mergeCell ref="C367:C368"/>
    <mergeCell ref="D367:D368"/>
    <mergeCell ref="E367:E368"/>
    <mergeCell ref="F367:F368"/>
    <mergeCell ref="Q365:Q366"/>
    <mergeCell ref="R365:R366"/>
    <mergeCell ref="S365:S366"/>
    <mergeCell ref="T365:T366"/>
    <mergeCell ref="U365:U366"/>
    <mergeCell ref="V365:V366"/>
    <mergeCell ref="V363:V364"/>
    <mergeCell ref="A365:A366"/>
    <mergeCell ref="B365:B366"/>
    <mergeCell ref="C365:C366"/>
    <mergeCell ref="D365:D366"/>
    <mergeCell ref="E365:E366"/>
    <mergeCell ref="F365:F366"/>
    <mergeCell ref="M365:M366"/>
    <mergeCell ref="N365:N366"/>
    <mergeCell ref="O365:O366"/>
    <mergeCell ref="O363:O364"/>
    <mergeCell ref="Q363:Q364"/>
    <mergeCell ref="R363:R364"/>
    <mergeCell ref="S363:S364"/>
    <mergeCell ref="T363:T364"/>
    <mergeCell ref="U363:U364"/>
    <mergeCell ref="U369:U372"/>
    <mergeCell ref="V369:V372"/>
    <mergeCell ref="A373:A375"/>
    <mergeCell ref="B373:B375"/>
    <mergeCell ref="C373:C375"/>
    <mergeCell ref="D373:D375"/>
    <mergeCell ref="E373:E375"/>
    <mergeCell ref="F373:F375"/>
    <mergeCell ref="M373:M375"/>
    <mergeCell ref="N373:N375"/>
    <mergeCell ref="N369:N372"/>
    <mergeCell ref="O369:O372"/>
    <mergeCell ref="Q369:Q372"/>
    <mergeCell ref="R369:R372"/>
    <mergeCell ref="S369:S372"/>
    <mergeCell ref="T369:T372"/>
    <mergeCell ref="T367:T368"/>
    <mergeCell ref="U367:U368"/>
    <mergeCell ref="V367:V368"/>
    <mergeCell ref="A369:A372"/>
    <mergeCell ref="B369:B372"/>
    <mergeCell ref="C369:C372"/>
    <mergeCell ref="D369:D372"/>
    <mergeCell ref="E369:E372"/>
    <mergeCell ref="F369:F372"/>
    <mergeCell ref="M369:M372"/>
    <mergeCell ref="M367:M368"/>
    <mergeCell ref="N367:N368"/>
    <mergeCell ref="O367:O368"/>
    <mergeCell ref="Q367:Q368"/>
    <mergeCell ref="R367:R368"/>
    <mergeCell ref="S367:S368"/>
    <mergeCell ref="A379:A381"/>
    <mergeCell ref="B379:B381"/>
    <mergeCell ref="C379:C381"/>
    <mergeCell ref="D379:D381"/>
    <mergeCell ref="E379:E381"/>
    <mergeCell ref="F379:F381"/>
    <mergeCell ref="Q376:Q378"/>
    <mergeCell ref="R376:R378"/>
    <mergeCell ref="S376:S378"/>
    <mergeCell ref="T376:T378"/>
    <mergeCell ref="U376:U378"/>
    <mergeCell ref="V376:V378"/>
    <mergeCell ref="V373:V375"/>
    <mergeCell ref="A376:A378"/>
    <mergeCell ref="B376:B378"/>
    <mergeCell ref="C376:C378"/>
    <mergeCell ref="D376:D378"/>
    <mergeCell ref="E376:E378"/>
    <mergeCell ref="F376:F378"/>
    <mergeCell ref="M376:M378"/>
    <mergeCell ref="N376:N378"/>
    <mergeCell ref="O376:O378"/>
    <mergeCell ref="O373:O375"/>
    <mergeCell ref="Q373:Q375"/>
    <mergeCell ref="R373:R375"/>
    <mergeCell ref="S373:S375"/>
    <mergeCell ref="T373:T375"/>
    <mergeCell ref="U373:U375"/>
    <mergeCell ref="U382:U384"/>
    <mergeCell ref="V382:V384"/>
    <mergeCell ref="A385:A386"/>
    <mergeCell ref="B385:B386"/>
    <mergeCell ref="C385:C386"/>
    <mergeCell ref="D385:D386"/>
    <mergeCell ref="E385:E386"/>
    <mergeCell ref="F385:F386"/>
    <mergeCell ref="M385:M386"/>
    <mergeCell ref="N385:N386"/>
    <mergeCell ref="N382:N384"/>
    <mergeCell ref="O382:O384"/>
    <mergeCell ref="Q382:Q384"/>
    <mergeCell ref="R382:R384"/>
    <mergeCell ref="S382:S384"/>
    <mergeCell ref="T382:T384"/>
    <mergeCell ref="T379:T381"/>
    <mergeCell ref="U379:U381"/>
    <mergeCell ref="V379:V381"/>
    <mergeCell ref="A382:A384"/>
    <mergeCell ref="B382:B384"/>
    <mergeCell ref="C382:C384"/>
    <mergeCell ref="D382:D384"/>
    <mergeCell ref="E382:E384"/>
    <mergeCell ref="F382:F384"/>
    <mergeCell ref="M382:M384"/>
    <mergeCell ref="M379:M381"/>
    <mergeCell ref="N379:N381"/>
    <mergeCell ref="O379:O381"/>
    <mergeCell ref="Q379:Q381"/>
    <mergeCell ref="R379:R381"/>
    <mergeCell ref="S379:S381"/>
    <mergeCell ref="A389:A390"/>
    <mergeCell ref="B389:B390"/>
    <mergeCell ref="C389:C390"/>
    <mergeCell ref="D389:D390"/>
    <mergeCell ref="E389:E390"/>
    <mergeCell ref="F389:F390"/>
    <mergeCell ref="Q387:Q388"/>
    <mergeCell ref="R387:R388"/>
    <mergeCell ref="S387:S388"/>
    <mergeCell ref="T387:T388"/>
    <mergeCell ref="U387:U388"/>
    <mergeCell ref="V387:V388"/>
    <mergeCell ref="V385:V386"/>
    <mergeCell ref="A387:A388"/>
    <mergeCell ref="B387:B388"/>
    <mergeCell ref="C387:C388"/>
    <mergeCell ref="D387:D388"/>
    <mergeCell ref="E387:E388"/>
    <mergeCell ref="F387:F388"/>
    <mergeCell ref="M387:M388"/>
    <mergeCell ref="N387:N388"/>
    <mergeCell ref="O387:O388"/>
    <mergeCell ref="O385:O386"/>
    <mergeCell ref="Q385:Q386"/>
    <mergeCell ref="R385:R386"/>
    <mergeCell ref="S385:S386"/>
    <mergeCell ref="T385:T386"/>
    <mergeCell ref="U385:U386"/>
    <mergeCell ref="U391:U392"/>
    <mergeCell ref="V391:V392"/>
    <mergeCell ref="A393:A394"/>
    <mergeCell ref="B393:B394"/>
    <mergeCell ref="C393:C394"/>
    <mergeCell ref="D393:D394"/>
    <mergeCell ref="E393:E394"/>
    <mergeCell ref="F393:F394"/>
    <mergeCell ref="M393:M394"/>
    <mergeCell ref="N393:N394"/>
    <mergeCell ref="N391:N392"/>
    <mergeCell ref="O391:O392"/>
    <mergeCell ref="Q391:Q392"/>
    <mergeCell ref="R391:R392"/>
    <mergeCell ref="S391:S392"/>
    <mergeCell ref="T391:T392"/>
    <mergeCell ref="T389:T390"/>
    <mergeCell ref="U389:U390"/>
    <mergeCell ref="V389:V390"/>
    <mergeCell ref="A391:A392"/>
    <mergeCell ref="B391:B392"/>
    <mergeCell ref="C391:C392"/>
    <mergeCell ref="D391:D392"/>
    <mergeCell ref="E391:E392"/>
    <mergeCell ref="F391:F392"/>
    <mergeCell ref="M391:M392"/>
    <mergeCell ref="M389:M390"/>
    <mergeCell ref="N389:N390"/>
    <mergeCell ref="O389:O390"/>
    <mergeCell ref="Q389:Q390"/>
    <mergeCell ref="R389:R390"/>
    <mergeCell ref="S389:S390"/>
    <mergeCell ref="A397:A398"/>
    <mergeCell ref="B397:B398"/>
    <mergeCell ref="C397:C398"/>
    <mergeCell ref="D397:D398"/>
    <mergeCell ref="E397:E398"/>
    <mergeCell ref="F397:F398"/>
    <mergeCell ref="Q395:Q396"/>
    <mergeCell ref="R395:R396"/>
    <mergeCell ref="S395:S396"/>
    <mergeCell ref="T395:T396"/>
    <mergeCell ref="U395:U396"/>
    <mergeCell ref="V395:V396"/>
    <mergeCell ref="V393:V394"/>
    <mergeCell ref="A395:A396"/>
    <mergeCell ref="B395:B396"/>
    <mergeCell ref="C395:C396"/>
    <mergeCell ref="D395:D396"/>
    <mergeCell ref="E395:E396"/>
    <mergeCell ref="F395:F396"/>
    <mergeCell ref="M395:M396"/>
    <mergeCell ref="N395:N396"/>
    <mergeCell ref="O395:O396"/>
    <mergeCell ref="O393:O394"/>
    <mergeCell ref="Q393:Q394"/>
    <mergeCell ref="R393:R394"/>
    <mergeCell ref="S393:S394"/>
    <mergeCell ref="T393:T394"/>
    <mergeCell ref="U393:U394"/>
    <mergeCell ref="U399:U400"/>
    <mergeCell ref="V399:V400"/>
    <mergeCell ref="A401:A402"/>
    <mergeCell ref="B401:B402"/>
    <mergeCell ref="C401:C402"/>
    <mergeCell ref="D401:D402"/>
    <mergeCell ref="E401:E402"/>
    <mergeCell ref="F401:F402"/>
    <mergeCell ref="M401:M402"/>
    <mergeCell ref="N401:N402"/>
    <mergeCell ref="N399:N400"/>
    <mergeCell ref="O399:O400"/>
    <mergeCell ref="Q399:Q400"/>
    <mergeCell ref="R399:R400"/>
    <mergeCell ref="S399:S400"/>
    <mergeCell ref="T399:T400"/>
    <mergeCell ref="T397:T398"/>
    <mergeCell ref="U397:U398"/>
    <mergeCell ref="V397:V398"/>
    <mergeCell ref="A399:A400"/>
    <mergeCell ref="B399:B400"/>
    <mergeCell ref="C399:C400"/>
    <mergeCell ref="D399:D400"/>
    <mergeCell ref="E399:E400"/>
    <mergeCell ref="F399:F400"/>
    <mergeCell ref="M399:M400"/>
    <mergeCell ref="M397:M398"/>
    <mergeCell ref="N397:N398"/>
    <mergeCell ref="O397:O398"/>
    <mergeCell ref="Q397:Q398"/>
    <mergeCell ref="R397:R398"/>
    <mergeCell ref="S397:S398"/>
    <mergeCell ref="A405:A406"/>
    <mergeCell ref="B405:B406"/>
    <mergeCell ref="C405:C406"/>
    <mergeCell ref="D405:D406"/>
    <mergeCell ref="E405:E406"/>
    <mergeCell ref="F405:F406"/>
    <mergeCell ref="Q403:Q404"/>
    <mergeCell ref="R403:R404"/>
    <mergeCell ref="S403:S404"/>
    <mergeCell ref="T403:T404"/>
    <mergeCell ref="U403:U404"/>
    <mergeCell ref="V403:V404"/>
    <mergeCell ref="V401:V402"/>
    <mergeCell ref="A403:A404"/>
    <mergeCell ref="B403:B404"/>
    <mergeCell ref="C403:C404"/>
    <mergeCell ref="D403:D404"/>
    <mergeCell ref="E403:E404"/>
    <mergeCell ref="F403:F404"/>
    <mergeCell ref="M403:M404"/>
    <mergeCell ref="N403:N404"/>
    <mergeCell ref="O403:O404"/>
    <mergeCell ref="O401:O402"/>
    <mergeCell ref="Q401:Q402"/>
    <mergeCell ref="R401:R402"/>
    <mergeCell ref="S401:S402"/>
    <mergeCell ref="T401:T402"/>
    <mergeCell ref="U401:U402"/>
    <mergeCell ref="U407:U410"/>
    <mergeCell ref="V407:V410"/>
    <mergeCell ref="A411:A412"/>
    <mergeCell ref="B411:B412"/>
    <mergeCell ref="C411:C412"/>
    <mergeCell ref="D411:D412"/>
    <mergeCell ref="E411:E412"/>
    <mergeCell ref="F411:F412"/>
    <mergeCell ref="M411:M412"/>
    <mergeCell ref="N411:N412"/>
    <mergeCell ref="N407:N410"/>
    <mergeCell ref="O407:O410"/>
    <mergeCell ref="Q407:Q410"/>
    <mergeCell ref="R407:R410"/>
    <mergeCell ref="S407:S410"/>
    <mergeCell ref="T407:T410"/>
    <mergeCell ref="T405:T406"/>
    <mergeCell ref="U405:U406"/>
    <mergeCell ref="V405:V406"/>
    <mergeCell ref="A407:A410"/>
    <mergeCell ref="B407:B410"/>
    <mergeCell ref="C407:C410"/>
    <mergeCell ref="D407:D410"/>
    <mergeCell ref="E407:E410"/>
    <mergeCell ref="F407:F410"/>
    <mergeCell ref="M407:M410"/>
    <mergeCell ref="M405:M406"/>
    <mergeCell ref="N405:N406"/>
    <mergeCell ref="O405:O406"/>
    <mergeCell ref="Q405:Q406"/>
    <mergeCell ref="R405:R406"/>
    <mergeCell ref="S405:S406"/>
    <mergeCell ref="A415:A417"/>
    <mergeCell ref="B415:B417"/>
    <mergeCell ref="C415:C417"/>
    <mergeCell ref="D415:D417"/>
    <mergeCell ref="E415:E417"/>
    <mergeCell ref="F415:F417"/>
    <mergeCell ref="Q413:Q414"/>
    <mergeCell ref="R413:R414"/>
    <mergeCell ref="S413:S414"/>
    <mergeCell ref="T413:T414"/>
    <mergeCell ref="U413:U414"/>
    <mergeCell ref="V413:V414"/>
    <mergeCell ref="V411:V412"/>
    <mergeCell ref="A413:A414"/>
    <mergeCell ref="B413:B414"/>
    <mergeCell ref="C413:C414"/>
    <mergeCell ref="D413:D414"/>
    <mergeCell ref="E413:E414"/>
    <mergeCell ref="F413:F414"/>
    <mergeCell ref="M413:M414"/>
    <mergeCell ref="N413:N414"/>
    <mergeCell ref="O413:O414"/>
    <mergeCell ref="O411:O412"/>
    <mergeCell ref="Q411:Q412"/>
    <mergeCell ref="R411:R412"/>
    <mergeCell ref="S411:S412"/>
    <mergeCell ref="T411:T412"/>
    <mergeCell ref="U411:U412"/>
    <mergeCell ref="U418:U420"/>
    <mergeCell ref="V418:V420"/>
    <mergeCell ref="A421:A423"/>
    <mergeCell ref="B421:B423"/>
    <mergeCell ref="C421:C423"/>
    <mergeCell ref="D421:D423"/>
    <mergeCell ref="E421:E423"/>
    <mergeCell ref="F421:F423"/>
    <mergeCell ref="M421:M423"/>
    <mergeCell ref="N421:N423"/>
    <mergeCell ref="N418:N420"/>
    <mergeCell ref="O418:O420"/>
    <mergeCell ref="Q418:Q420"/>
    <mergeCell ref="R418:R420"/>
    <mergeCell ref="S418:S420"/>
    <mergeCell ref="T418:T420"/>
    <mergeCell ref="T415:T417"/>
    <mergeCell ref="U415:U417"/>
    <mergeCell ref="V415:V417"/>
    <mergeCell ref="A418:A420"/>
    <mergeCell ref="B418:B420"/>
    <mergeCell ref="C418:C420"/>
    <mergeCell ref="D418:D420"/>
    <mergeCell ref="E418:E420"/>
    <mergeCell ref="F418:F420"/>
    <mergeCell ref="M418:M420"/>
    <mergeCell ref="M415:M417"/>
    <mergeCell ref="N415:N417"/>
    <mergeCell ref="O415:O417"/>
    <mergeCell ref="Q415:Q417"/>
    <mergeCell ref="R415:R417"/>
    <mergeCell ref="S415:S417"/>
    <mergeCell ref="A427:A429"/>
    <mergeCell ref="B427:B429"/>
    <mergeCell ref="C427:C429"/>
    <mergeCell ref="D427:D429"/>
    <mergeCell ref="E427:E429"/>
    <mergeCell ref="F427:F429"/>
    <mergeCell ref="Q424:Q426"/>
    <mergeCell ref="R424:R426"/>
    <mergeCell ref="S424:S426"/>
    <mergeCell ref="T424:T426"/>
    <mergeCell ref="U424:U426"/>
    <mergeCell ref="V424:V426"/>
    <mergeCell ref="V421:V423"/>
    <mergeCell ref="A424:A426"/>
    <mergeCell ref="B424:B426"/>
    <mergeCell ref="C424:C426"/>
    <mergeCell ref="D424:D426"/>
    <mergeCell ref="E424:E426"/>
    <mergeCell ref="F424:F426"/>
    <mergeCell ref="M424:M426"/>
    <mergeCell ref="N424:N426"/>
    <mergeCell ref="O424:O426"/>
    <mergeCell ref="O421:O423"/>
    <mergeCell ref="Q421:Q423"/>
    <mergeCell ref="R421:R423"/>
    <mergeCell ref="S421:S423"/>
    <mergeCell ref="T421:T423"/>
    <mergeCell ref="U421:U423"/>
    <mergeCell ref="U430:U431"/>
    <mergeCell ref="V430:V431"/>
    <mergeCell ref="A432:A434"/>
    <mergeCell ref="B432:B434"/>
    <mergeCell ref="C432:C434"/>
    <mergeCell ref="D432:D434"/>
    <mergeCell ref="E432:E434"/>
    <mergeCell ref="F432:F434"/>
    <mergeCell ref="M432:M434"/>
    <mergeCell ref="N432:N434"/>
    <mergeCell ref="N430:N431"/>
    <mergeCell ref="O430:O431"/>
    <mergeCell ref="Q430:Q431"/>
    <mergeCell ref="R430:R431"/>
    <mergeCell ref="S430:S431"/>
    <mergeCell ref="T430:T431"/>
    <mergeCell ref="T427:T429"/>
    <mergeCell ref="U427:U429"/>
    <mergeCell ref="V427:V429"/>
    <mergeCell ref="A430:A431"/>
    <mergeCell ref="B430:B431"/>
    <mergeCell ref="C430:C431"/>
    <mergeCell ref="D430:D431"/>
    <mergeCell ref="E430:E431"/>
    <mergeCell ref="F430:F431"/>
    <mergeCell ref="M430:M431"/>
    <mergeCell ref="M427:M429"/>
    <mergeCell ref="N427:N429"/>
    <mergeCell ref="O427:O429"/>
    <mergeCell ref="Q427:Q429"/>
    <mergeCell ref="R427:R429"/>
    <mergeCell ref="S427:S429"/>
    <mergeCell ref="A439:A442"/>
    <mergeCell ref="B439:B442"/>
    <mergeCell ref="C439:C442"/>
    <mergeCell ref="D439:D442"/>
    <mergeCell ref="E439:E442"/>
    <mergeCell ref="F439:F442"/>
    <mergeCell ref="Q435:Q438"/>
    <mergeCell ref="R435:R438"/>
    <mergeCell ref="S435:S438"/>
    <mergeCell ref="T435:T438"/>
    <mergeCell ref="U435:U438"/>
    <mergeCell ref="V435:V438"/>
    <mergeCell ref="V432:V434"/>
    <mergeCell ref="A435:A438"/>
    <mergeCell ref="B435:B438"/>
    <mergeCell ref="C435:C438"/>
    <mergeCell ref="D435:D438"/>
    <mergeCell ref="E435:E438"/>
    <mergeCell ref="F435:F438"/>
    <mergeCell ref="M435:M438"/>
    <mergeCell ref="N435:N438"/>
    <mergeCell ref="O435:O438"/>
    <mergeCell ref="O432:O434"/>
    <mergeCell ref="Q432:Q434"/>
    <mergeCell ref="R432:R434"/>
    <mergeCell ref="S432:S434"/>
    <mergeCell ref="T432:T434"/>
    <mergeCell ref="U432:U434"/>
    <mergeCell ref="U443:U444"/>
    <mergeCell ref="V443:V444"/>
    <mergeCell ref="A445:A446"/>
    <mergeCell ref="B445:B446"/>
    <mergeCell ref="C445:C446"/>
    <mergeCell ref="D445:D446"/>
    <mergeCell ref="E445:E446"/>
    <mergeCell ref="F445:F446"/>
    <mergeCell ref="M445:M446"/>
    <mergeCell ref="N445:N446"/>
    <mergeCell ref="N443:N444"/>
    <mergeCell ref="O443:O444"/>
    <mergeCell ref="Q443:Q444"/>
    <mergeCell ref="R443:R444"/>
    <mergeCell ref="S443:S444"/>
    <mergeCell ref="T443:T444"/>
    <mergeCell ref="T439:T442"/>
    <mergeCell ref="U439:U442"/>
    <mergeCell ref="V439:V442"/>
    <mergeCell ref="A443:A444"/>
    <mergeCell ref="B443:B444"/>
    <mergeCell ref="C443:C444"/>
    <mergeCell ref="D443:D444"/>
    <mergeCell ref="E443:E444"/>
    <mergeCell ref="F443:F444"/>
    <mergeCell ref="M443:M444"/>
    <mergeCell ref="M439:M442"/>
    <mergeCell ref="N439:N442"/>
    <mergeCell ref="O439:O442"/>
    <mergeCell ref="Q439:Q442"/>
    <mergeCell ref="R439:R442"/>
    <mergeCell ref="S439:S442"/>
    <mergeCell ref="Q447:Q448"/>
    <mergeCell ref="R447:R448"/>
    <mergeCell ref="S447:S448"/>
    <mergeCell ref="T447:T448"/>
    <mergeCell ref="U447:U448"/>
    <mergeCell ref="V447:V448"/>
    <mergeCell ref="V445:V446"/>
    <mergeCell ref="A447:A448"/>
    <mergeCell ref="B447:B448"/>
    <mergeCell ref="C447:C448"/>
    <mergeCell ref="D447:D448"/>
    <mergeCell ref="E447:E448"/>
    <mergeCell ref="F447:F448"/>
    <mergeCell ref="M447:M448"/>
    <mergeCell ref="N447:N448"/>
    <mergeCell ref="O447:O448"/>
    <mergeCell ref="O445:O446"/>
    <mergeCell ref="Q445:Q446"/>
    <mergeCell ref="R445:R446"/>
    <mergeCell ref="S445:S446"/>
    <mergeCell ref="T445:T446"/>
    <mergeCell ref="U445:U446"/>
    <mergeCell ref="A451:A453"/>
    <mergeCell ref="B451:B453"/>
    <mergeCell ref="C451:C453"/>
    <mergeCell ref="D451:D453"/>
    <mergeCell ref="E451:E453"/>
    <mergeCell ref="F451:F453"/>
    <mergeCell ref="M449:M450"/>
    <mergeCell ref="N449:N450"/>
    <mergeCell ref="O449:O450"/>
    <mergeCell ref="Q449:Q450"/>
    <mergeCell ref="R449:R450"/>
    <mergeCell ref="S449:S450"/>
    <mergeCell ref="A449:A450"/>
    <mergeCell ref="B449:B450"/>
    <mergeCell ref="C449:C450"/>
    <mergeCell ref="D449:D450"/>
    <mergeCell ref="E449:E450"/>
    <mergeCell ref="F449:F450"/>
    <mergeCell ref="M451:M453"/>
    <mergeCell ref="N451:N453"/>
    <mergeCell ref="O451:O453"/>
    <mergeCell ref="Q451:Q453"/>
    <mergeCell ref="V451:V453"/>
    <mergeCell ref="R453:R455"/>
    <mergeCell ref="S453:S455"/>
    <mergeCell ref="T453:T455"/>
    <mergeCell ref="R451:R452"/>
    <mergeCell ref="S451:S452"/>
    <mergeCell ref="T451:T452"/>
    <mergeCell ref="T449:T450"/>
    <mergeCell ref="U449:U450"/>
    <mergeCell ref="V449:V450"/>
    <mergeCell ref="U451:U453"/>
    <mergeCell ref="E459:E460"/>
    <mergeCell ref="F459:F460"/>
    <mergeCell ref="R458:R459"/>
    <mergeCell ref="S458:S459"/>
    <mergeCell ref="A457:A458"/>
    <mergeCell ref="B457:B458"/>
    <mergeCell ref="C457:C458"/>
    <mergeCell ref="D457:D458"/>
    <mergeCell ref="E457:E458"/>
    <mergeCell ref="F457:F458"/>
    <mergeCell ref="V454:V456"/>
    <mergeCell ref="R456:R457"/>
    <mergeCell ref="S456:S457"/>
    <mergeCell ref="T456:T457"/>
    <mergeCell ref="V457:V458"/>
    <mergeCell ref="A454:A456"/>
    <mergeCell ref="B454:B456"/>
    <mergeCell ref="C454:C456"/>
    <mergeCell ref="D454:D456"/>
    <mergeCell ref="E454:E456"/>
    <mergeCell ref="F454:F456"/>
    <mergeCell ref="E464:E465"/>
    <mergeCell ref="F464:F465"/>
    <mergeCell ref="M464:M465"/>
    <mergeCell ref="N464:N465"/>
    <mergeCell ref="R462:R463"/>
    <mergeCell ref="S462:S463"/>
    <mergeCell ref="A461:A463"/>
    <mergeCell ref="B461:B463"/>
    <mergeCell ref="C461:C463"/>
    <mergeCell ref="D461:D463"/>
    <mergeCell ref="E461:E463"/>
    <mergeCell ref="F461:F463"/>
    <mergeCell ref="V459:V460"/>
    <mergeCell ref="R460:R461"/>
    <mergeCell ref="S460:S461"/>
    <mergeCell ref="T460:T461"/>
    <mergeCell ref="V461:V463"/>
    <mergeCell ref="T458:T459"/>
    <mergeCell ref="A459:A460"/>
    <mergeCell ref="B459:B460"/>
    <mergeCell ref="C459:C460"/>
    <mergeCell ref="D459:D460"/>
    <mergeCell ref="A468:A469"/>
    <mergeCell ref="B468:B469"/>
    <mergeCell ref="C468:C469"/>
    <mergeCell ref="D468:D469"/>
    <mergeCell ref="E468:E469"/>
    <mergeCell ref="F468:F469"/>
    <mergeCell ref="Q466:Q467"/>
    <mergeCell ref="R466:R467"/>
    <mergeCell ref="S466:S467"/>
    <mergeCell ref="T466:T467"/>
    <mergeCell ref="U466:U467"/>
    <mergeCell ref="V466:V467"/>
    <mergeCell ref="V464:V465"/>
    <mergeCell ref="A466:A467"/>
    <mergeCell ref="B466:B467"/>
    <mergeCell ref="C466:C467"/>
    <mergeCell ref="D466:D467"/>
    <mergeCell ref="E466:E467"/>
    <mergeCell ref="F466:F467"/>
    <mergeCell ref="M466:M467"/>
    <mergeCell ref="N466:N467"/>
    <mergeCell ref="O466:O467"/>
    <mergeCell ref="O464:O465"/>
    <mergeCell ref="Q464:Q465"/>
    <mergeCell ref="R464:R465"/>
    <mergeCell ref="S464:S465"/>
    <mergeCell ref="T464:T465"/>
    <mergeCell ref="U464:U465"/>
    <mergeCell ref="A464:A465"/>
    <mergeCell ref="B464:B465"/>
    <mergeCell ref="C464:C465"/>
    <mergeCell ref="D464:D465"/>
    <mergeCell ref="U470:U471"/>
    <mergeCell ref="V470:V471"/>
    <mergeCell ref="A472:A473"/>
    <mergeCell ref="B472:B473"/>
    <mergeCell ref="C472:C473"/>
    <mergeCell ref="D472:D473"/>
    <mergeCell ref="E472:E473"/>
    <mergeCell ref="F472:F473"/>
    <mergeCell ref="M472:M473"/>
    <mergeCell ref="N472:N473"/>
    <mergeCell ref="N470:N471"/>
    <mergeCell ref="O470:O471"/>
    <mergeCell ref="Q470:Q471"/>
    <mergeCell ref="R470:R471"/>
    <mergeCell ref="S470:S471"/>
    <mergeCell ref="T470:T471"/>
    <mergeCell ref="T468:T469"/>
    <mergeCell ref="U468:U469"/>
    <mergeCell ref="V468:V469"/>
    <mergeCell ref="A470:A471"/>
    <mergeCell ref="B470:B471"/>
    <mergeCell ref="C470:C471"/>
    <mergeCell ref="D470:D471"/>
    <mergeCell ref="E470:E471"/>
    <mergeCell ref="F470:F471"/>
    <mergeCell ref="M470:M471"/>
    <mergeCell ref="M468:M469"/>
    <mergeCell ref="N468:N469"/>
    <mergeCell ref="O468:O469"/>
    <mergeCell ref="Q468:Q469"/>
    <mergeCell ref="R468:R469"/>
    <mergeCell ref="S468:S469"/>
    <mergeCell ref="A476:A477"/>
    <mergeCell ref="B476:B477"/>
    <mergeCell ref="C476:C477"/>
    <mergeCell ref="D476:D477"/>
    <mergeCell ref="E476:E477"/>
    <mergeCell ref="F476:F477"/>
    <mergeCell ref="Q474:Q475"/>
    <mergeCell ref="R474:R475"/>
    <mergeCell ref="S474:S475"/>
    <mergeCell ref="T474:T475"/>
    <mergeCell ref="U474:U475"/>
    <mergeCell ref="V474:V475"/>
    <mergeCell ref="V472:V473"/>
    <mergeCell ref="A474:A475"/>
    <mergeCell ref="B474:B475"/>
    <mergeCell ref="C474:C475"/>
    <mergeCell ref="D474:D475"/>
    <mergeCell ref="E474:E475"/>
    <mergeCell ref="F474:F475"/>
    <mergeCell ref="M474:M475"/>
    <mergeCell ref="N474:N475"/>
    <mergeCell ref="O474:O475"/>
    <mergeCell ref="O472:O473"/>
    <mergeCell ref="Q472:Q473"/>
    <mergeCell ref="R472:R473"/>
    <mergeCell ref="S472:S473"/>
    <mergeCell ref="T472:T473"/>
    <mergeCell ref="U472:U473"/>
    <mergeCell ref="T478:T479"/>
    <mergeCell ref="U478:U479"/>
    <mergeCell ref="V478:V479"/>
    <mergeCell ref="A480:A481"/>
    <mergeCell ref="B480:B481"/>
    <mergeCell ref="C480:C481"/>
    <mergeCell ref="D480:D481"/>
    <mergeCell ref="E480:E481"/>
    <mergeCell ref="F480:F481"/>
    <mergeCell ref="G480:G481"/>
    <mergeCell ref="M478:M479"/>
    <mergeCell ref="N478:N479"/>
    <mergeCell ref="O478:O479"/>
    <mergeCell ref="Q478:Q479"/>
    <mergeCell ref="R478:R479"/>
    <mergeCell ref="S478:S479"/>
    <mergeCell ref="T476:T477"/>
    <mergeCell ref="U476:U477"/>
    <mergeCell ref="V476:V477"/>
    <mergeCell ref="A478:A479"/>
    <mergeCell ref="B478:B479"/>
    <mergeCell ref="C478:C479"/>
    <mergeCell ref="D478:D479"/>
    <mergeCell ref="E478:E479"/>
    <mergeCell ref="F478:F479"/>
    <mergeCell ref="G478:G479"/>
    <mergeCell ref="M476:M477"/>
    <mergeCell ref="N476:N477"/>
    <mergeCell ref="O476:O477"/>
    <mergeCell ref="Q476:Q477"/>
    <mergeCell ref="R476:R477"/>
    <mergeCell ref="S476:S477"/>
    <mergeCell ref="T482:T483"/>
    <mergeCell ref="U482:U483"/>
    <mergeCell ref="V482:V483"/>
    <mergeCell ref="A484:A485"/>
    <mergeCell ref="B484:B485"/>
    <mergeCell ref="C484:C485"/>
    <mergeCell ref="D484:D485"/>
    <mergeCell ref="E484:E485"/>
    <mergeCell ref="F484:F485"/>
    <mergeCell ref="G484:G485"/>
    <mergeCell ref="M482:M483"/>
    <mergeCell ref="N482:N483"/>
    <mergeCell ref="O482:O483"/>
    <mergeCell ref="Q482:Q483"/>
    <mergeCell ref="R482:R483"/>
    <mergeCell ref="S482:S483"/>
    <mergeCell ref="T480:T481"/>
    <mergeCell ref="U480:U481"/>
    <mergeCell ref="V480:V481"/>
    <mergeCell ref="A482:A483"/>
    <mergeCell ref="B482:B483"/>
    <mergeCell ref="C482:C483"/>
    <mergeCell ref="D482:D483"/>
    <mergeCell ref="E482:E483"/>
    <mergeCell ref="F482:F483"/>
    <mergeCell ref="G482:G483"/>
    <mergeCell ref="M480:M481"/>
    <mergeCell ref="N480:N481"/>
    <mergeCell ref="O480:O481"/>
    <mergeCell ref="Q480:Q481"/>
    <mergeCell ref="R480:R481"/>
    <mergeCell ref="S480:S481"/>
    <mergeCell ref="T486:T487"/>
    <mergeCell ref="U486:U487"/>
    <mergeCell ref="V486:V487"/>
    <mergeCell ref="M486:M487"/>
    <mergeCell ref="N486:N487"/>
    <mergeCell ref="O486:O487"/>
    <mergeCell ref="Q486:Q487"/>
    <mergeCell ref="R486:R487"/>
    <mergeCell ref="S486:S487"/>
    <mergeCell ref="T484:T485"/>
    <mergeCell ref="U484:U485"/>
    <mergeCell ref="V484:V485"/>
    <mergeCell ref="A486:A487"/>
    <mergeCell ref="B486:B487"/>
    <mergeCell ref="C486:C487"/>
    <mergeCell ref="D486:D487"/>
    <mergeCell ref="E486:E487"/>
    <mergeCell ref="F486:F487"/>
    <mergeCell ref="G486:G487"/>
    <mergeCell ref="M484:M485"/>
    <mergeCell ref="N484:N485"/>
    <mergeCell ref="O484:O485"/>
    <mergeCell ref="Q484:Q485"/>
    <mergeCell ref="R484:R485"/>
    <mergeCell ref="S484:S485"/>
  </mergeCells>
  <conditionalFormatting sqref="A5:D5">
    <cfRule type="containsBlanks" dxfId="115" priority="37">
      <formula>LEN(TRIM(A5))=0</formula>
    </cfRule>
  </conditionalFormatting>
  <conditionalFormatting sqref="A470:D470">
    <cfRule type="containsBlanks" dxfId="114" priority="29">
      <formula>LEN(TRIM(A470))=0</formula>
    </cfRule>
  </conditionalFormatting>
  <conditionalFormatting sqref="B7:D7">
    <cfRule type="containsBlanks" dxfId="113" priority="35">
      <formula>LEN(TRIM(B7))=0</formula>
    </cfRule>
  </conditionalFormatting>
  <conditionalFormatting sqref="B9:D9">
    <cfRule type="containsBlanks" dxfId="112" priority="27">
      <formula>LEN(TRIM(B9))=0</formula>
    </cfRule>
  </conditionalFormatting>
  <conditionalFormatting sqref="B333:D333">
    <cfRule type="containsBlanks" dxfId="111" priority="33">
      <formula>LEN(TRIM(B333))=0</formula>
    </cfRule>
  </conditionalFormatting>
  <conditionalFormatting sqref="B335:D335">
    <cfRule type="containsBlanks" dxfId="110" priority="36">
      <formula>LEN(TRIM(B335))=0</formula>
    </cfRule>
  </conditionalFormatting>
  <conditionalFormatting sqref="C262:C263">
    <cfRule type="containsBlanks" dxfId="109" priority="34">
      <formula>LEN(TRIM(C262))=0</formula>
    </cfRule>
  </conditionalFormatting>
  <conditionalFormatting sqref="C449:C450">
    <cfRule type="containsBlanks" dxfId="108" priority="30">
      <formula>LEN(TRIM(C449))=0</formula>
    </cfRule>
  </conditionalFormatting>
  <conditionalFormatting sqref="C110:D110 D111 C112:D124 D125 C126:D261">
    <cfRule type="containsBlanks" dxfId="107" priority="38">
      <formula>LEN(TRIM(C110))=0</formula>
    </cfRule>
  </conditionalFormatting>
  <conditionalFormatting sqref="D262:D285 C286:D287 D288:D291 C451:D468">
    <cfRule type="containsBlanks" dxfId="106" priority="32">
      <formula>LEN(TRIM(C262))=0</formula>
    </cfRule>
  </conditionalFormatting>
  <conditionalFormatting sqref="D472">
    <cfRule type="containsBlanks" dxfId="105" priority="28">
      <formula>LEN(TRIM(D472))=0</formula>
    </cfRule>
  </conditionalFormatting>
  <conditionalFormatting sqref="D474 D476">
    <cfRule type="containsBlanks" dxfId="104" priority="31">
      <formula>LEN(TRIM(D474))=0</formula>
    </cfRule>
  </conditionalFormatting>
  <conditionalFormatting sqref="G5:G478 H5:H487 A7:A342 C11:D42 B11:B108 D43 C44:D44 D45 C46:D74 K58:K61 D75 C76:D108 B110:B263 B276:B331 C292:D331 K304:K323 K327:K467 C337:D448 B337:B468">
    <cfRule type="containsBlanks" dxfId="103" priority="39">
      <formula>LEN(TRIM(A5))=0</formula>
    </cfRule>
  </conditionalFormatting>
  <conditionalFormatting sqref="G480 G482 G484 G486">
    <cfRule type="containsBlanks" dxfId="102" priority="41">
      <formula>LEN(TRIM(G480))=0</formula>
    </cfRule>
  </conditionalFormatting>
  <conditionalFormatting sqref="I5:J487">
    <cfRule type="containsBlanks" dxfId="101" priority="42">
      <formula>LEN(TRIM(I5))=0</formula>
    </cfRule>
  </conditionalFormatting>
  <conditionalFormatting sqref="K5:K53 K64:K76 K78:K101 K103 K110:K204 K206:K258 K260 K262:K264 K266 K268 K270 K272 K274 K276 K278 K280 K282 K284 K286:K298 K325 A344:A345 A347 A349 A351 A353 A355 A357 A359 A361 A363 A365 A367 A369:A371 A373:A374 A376:A377 A379 A382:A383 A385 A387 A389 A391 A393 A395 A397 A399 A401 A403 A405 A407 A411 A413 A415 A418 A421 A424 A427 A430 A432 A435 A439 A443 A445 A447 A449 A451 A454 A457 A459 A461 A464 A466 A468 K469 K471:K477 A472 B472:C477 A474 A476 A478:D478 A480:D480 A482:D482 A484:D484 A486:D486">
    <cfRule type="containsBlanks" dxfId="100" priority="40">
      <formula>LEN(TRIM(A5))=0</formula>
    </cfRule>
  </conditionalFormatting>
  <conditionalFormatting sqref="K54:K57">
    <cfRule type="containsBlanks" dxfId="99" priority="2">
      <formula>LEN(TRIM(K54))=0</formula>
    </cfRule>
  </conditionalFormatting>
  <conditionalFormatting sqref="K62:K63">
    <cfRule type="containsBlanks" dxfId="98" priority="3">
      <formula>LEN(TRIM(K62))=0</formula>
    </cfRule>
  </conditionalFormatting>
  <conditionalFormatting sqref="K77">
    <cfRule type="containsBlanks" dxfId="97" priority="1">
      <formula>LEN(TRIM(K77))=0</formula>
    </cfRule>
  </conditionalFormatting>
  <conditionalFormatting sqref="K102">
    <cfRule type="containsBlanks" dxfId="96" priority="4">
      <formula>LEN(TRIM(K102))=0</formula>
    </cfRule>
  </conditionalFormatting>
  <conditionalFormatting sqref="K104:K109">
    <cfRule type="containsBlanks" dxfId="95" priority="5">
      <formula>LEN(TRIM(K104))=0</formula>
    </cfRule>
  </conditionalFormatting>
  <conditionalFormatting sqref="K205">
    <cfRule type="containsBlanks" dxfId="94" priority="6">
      <formula>LEN(TRIM(K205))=0</formula>
    </cfRule>
  </conditionalFormatting>
  <conditionalFormatting sqref="K259">
    <cfRule type="containsBlanks" dxfId="93" priority="8">
      <formula>LEN(TRIM(K259))=0</formula>
    </cfRule>
  </conditionalFormatting>
  <conditionalFormatting sqref="K261">
    <cfRule type="containsBlanks" dxfId="92" priority="7">
      <formula>LEN(TRIM(K261))=0</formula>
    </cfRule>
  </conditionalFormatting>
  <conditionalFormatting sqref="K265">
    <cfRule type="containsBlanks" dxfId="91" priority="9">
      <formula>LEN(TRIM(K265))=0</formula>
    </cfRule>
  </conditionalFormatting>
  <conditionalFormatting sqref="K267">
    <cfRule type="containsBlanks" dxfId="90" priority="10">
      <formula>LEN(TRIM(K267))=0</formula>
    </cfRule>
  </conditionalFormatting>
  <conditionalFormatting sqref="K269">
    <cfRule type="containsBlanks" dxfId="89" priority="11">
      <formula>LEN(TRIM(K269))=0</formula>
    </cfRule>
  </conditionalFormatting>
  <conditionalFormatting sqref="K271">
    <cfRule type="containsBlanks" dxfId="88" priority="12">
      <formula>LEN(TRIM(K271))=0</formula>
    </cfRule>
  </conditionalFormatting>
  <conditionalFormatting sqref="K273">
    <cfRule type="containsBlanks" dxfId="87" priority="13">
      <formula>LEN(TRIM(K273))=0</formula>
    </cfRule>
  </conditionalFormatting>
  <conditionalFormatting sqref="K275">
    <cfRule type="containsBlanks" dxfId="86" priority="14">
      <formula>LEN(TRIM(K275))=0</formula>
    </cfRule>
  </conditionalFormatting>
  <conditionalFormatting sqref="K277">
    <cfRule type="containsBlanks" dxfId="85" priority="15">
      <formula>LEN(TRIM(K277))=0</formula>
    </cfRule>
  </conditionalFormatting>
  <conditionalFormatting sqref="K279">
    <cfRule type="containsBlanks" dxfId="84" priority="16">
      <formula>LEN(TRIM(K279))=0</formula>
    </cfRule>
  </conditionalFormatting>
  <conditionalFormatting sqref="K281">
    <cfRule type="containsBlanks" dxfId="83" priority="17">
      <formula>LEN(TRIM(K281))=0</formula>
    </cfRule>
  </conditionalFormatting>
  <conditionalFormatting sqref="K283">
    <cfRule type="containsBlanks" dxfId="82" priority="19">
      <formula>LEN(TRIM(K283))=0</formula>
    </cfRule>
  </conditionalFormatting>
  <conditionalFormatting sqref="K285">
    <cfRule type="containsBlanks" dxfId="81" priority="18">
      <formula>LEN(TRIM(K285))=0</formula>
    </cfRule>
  </conditionalFormatting>
  <conditionalFormatting sqref="K299:K303">
    <cfRule type="containsBlanks" dxfId="80" priority="20">
      <formula>LEN(TRIM(K299))=0</formula>
    </cfRule>
  </conditionalFormatting>
  <conditionalFormatting sqref="K324">
    <cfRule type="containsBlanks" dxfId="79" priority="21">
      <formula>LEN(TRIM(K324))=0</formula>
    </cfRule>
  </conditionalFormatting>
  <conditionalFormatting sqref="K326">
    <cfRule type="containsBlanks" dxfId="78" priority="22">
      <formula>LEN(TRIM(K326))=0</formula>
    </cfRule>
  </conditionalFormatting>
  <conditionalFormatting sqref="K468">
    <cfRule type="containsBlanks" dxfId="77" priority="23">
      <formula>LEN(TRIM(K468))=0</formula>
    </cfRule>
  </conditionalFormatting>
  <conditionalFormatting sqref="K470">
    <cfRule type="containsBlanks" dxfId="76" priority="24">
      <formula>LEN(TRIM(K470))=0</formula>
    </cfRule>
  </conditionalFormatting>
  <conditionalFormatting sqref="K478:K487">
    <cfRule type="containsBlanks" dxfId="75" priority="25">
      <formula>LEN(TRIM(K478))=0</formula>
    </cfRule>
  </conditionalFormatting>
  <conditionalFormatting sqref="P5:P487">
    <cfRule type="dataBar" priority="43">
      <dataBar>
        <cfvo type="min"/>
        <cfvo type="max"/>
        <color rgb="FFC2D2E8"/>
      </dataBar>
      <extLst>
        <ext xmlns:x14="http://schemas.microsoft.com/office/spreadsheetml/2009/9/main" uri="{B025F937-C7B1-47D3-B67F-A62EFF666E3E}">
          <x14:id>{3E2BA175-FF98-499C-8A04-6BF6805D39BF}</x14:id>
        </ext>
      </extLst>
    </cfRule>
  </conditionalFormatting>
  <pageMargins left="0.7" right="0.7" top="0.75" bottom="0.75" header="0.3" footer="0.3"/>
  <pageSetup paperSize="9" orientation="portrait" horizontalDpi="300" verticalDpi="300" r:id="rId1"/>
  <drawing r:id="rId2"/>
  <legacyDrawing r:id="rId3"/>
  <extLst>
    <ext xmlns:x14="http://schemas.microsoft.com/office/spreadsheetml/2009/9/main" uri="{78C0D931-6437-407d-A8EE-F0AAD7539E65}">
      <x14:conditionalFormattings>
        <x14:conditionalFormatting xmlns:xm="http://schemas.microsoft.com/office/excel/2006/main">
          <x14:cfRule type="dataBar" id="{3E2BA175-FF98-499C-8A04-6BF6805D39BF}">
            <x14:dataBar minLength="0" maxLength="100" gradient="0">
              <x14:cfvo type="autoMin"/>
              <x14:cfvo type="autoMax"/>
              <x14:negativeFillColor rgb="FFFF0000"/>
              <x14:axisColor rgb="FF000000"/>
            </x14:dataBar>
          </x14:cfRule>
          <xm:sqref>P5:P487</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48453-A42B-4BA8-86E5-4C7BB28EFCD0}">
  <dimension ref="A1:AA78"/>
  <sheetViews>
    <sheetView zoomScale="90" zoomScaleNormal="90" workbookViewId="0">
      <pane xSplit="4" ySplit="4" topLeftCell="E5" activePane="bottomRight" state="frozen"/>
      <selection pane="topRight"/>
      <selection pane="bottomLeft"/>
      <selection pane="bottomRight" activeCell="V80" sqref="V80"/>
    </sheetView>
  </sheetViews>
  <sheetFormatPr baseColWidth="10" defaultColWidth="11.44140625" defaultRowHeight="14.4" x14ac:dyDescent="0.3"/>
  <cols>
    <col min="1" max="1" width="5.44140625" customWidth="1"/>
    <col min="2" max="2" width="12.33203125" style="2" customWidth="1"/>
    <col min="3" max="3" width="16" style="2" customWidth="1"/>
    <col min="4" max="4" width="88" style="2" customWidth="1"/>
    <col min="5" max="5" width="11.33203125" customWidth="1"/>
    <col min="6" max="6" width="14" style="6" customWidth="1"/>
    <col min="7" max="7" width="10" style="2" customWidth="1"/>
    <col min="8" max="8" width="18" customWidth="1"/>
    <col min="9" max="10" width="11.44140625" customWidth="1"/>
    <col min="11" max="11" width="15.33203125" customWidth="1"/>
    <col min="12" max="12" width="12.6640625" customWidth="1"/>
    <col min="13" max="13" width="16.21875" customWidth="1"/>
    <col min="14" max="15" width="12.5546875" customWidth="1"/>
    <col min="16" max="21" width="16.109375" customWidth="1"/>
    <col min="22" max="22" width="70.6640625" style="6" customWidth="1"/>
    <col min="23" max="23" width="7.6640625" bestFit="1" customWidth="1"/>
    <col min="25" max="25" width="18.5546875" customWidth="1"/>
    <col min="27" max="27" width="76.5546875" customWidth="1"/>
  </cols>
  <sheetData>
    <row r="1" spans="1:25" x14ac:dyDescent="0.3">
      <c r="A1" s="581" t="s">
        <v>642</v>
      </c>
      <c r="B1" s="582"/>
      <c r="C1" s="585" t="s">
        <v>643</v>
      </c>
      <c r="D1" s="586"/>
      <c r="E1" s="586"/>
      <c r="F1" s="586"/>
      <c r="G1" s="587"/>
      <c r="H1" s="591" t="s">
        <v>644</v>
      </c>
      <c r="I1" s="591"/>
      <c r="J1" s="591"/>
      <c r="K1" s="591"/>
      <c r="L1" s="592"/>
      <c r="M1" s="593" t="s">
        <v>645</v>
      </c>
      <c r="N1" s="594"/>
      <c r="O1" s="594"/>
      <c r="P1" s="594"/>
      <c r="Q1" s="594"/>
      <c r="R1" s="594"/>
      <c r="S1" s="594"/>
      <c r="T1" s="611"/>
      <c r="U1" s="572" t="s">
        <v>646</v>
      </c>
      <c r="V1" s="606">
        <f>SUM(U5:U76)</f>
        <v>2689899.7649999997</v>
      </c>
    </row>
    <row r="2" spans="1:25" x14ac:dyDescent="0.3">
      <c r="A2" s="583"/>
      <c r="B2" s="584"/>
      <c r="C2" s="588"/>
      <c r="D2" s="589"/>
      <c r="E2" s="589"/>
      <c r="F2" s="589"/>
      <c r="G2" s="590"/>
      <c r="H2" s="591"/>
      <c r="I2" s="591"/>
      <c r="J2" s="591"/>
      <c r="K2" s="591"/>
      <c r="L2" s="592"/>
      <c r="M2" s="595"/>
      <c r="N2" s="596"/>
      <c r="O2" s="596"/>
      <c r="P2" s="596"/>
      <c r="Q2" s="596"/>
      <c r="R2" s="596"/>
      <c r="S2" s="596"/>
      <c r="T2" s="612"/>
      <c r="U2" s="573"/>
      <c r="V2" s="607"/>
      <c r="X2" t="s">
        <v>647</v>
      </c>
      <c r="Y2" s="19"/>
    </row>
    <row r="3" spans="1:25" x14ac:dyDescent="0.3">
      <c r="A3" s="576" t="s">
        <v>3</v>
      </c>
      <c r="B3" s="576" t="s">
        <v>4</v>
      </c>
      <c r="C3" s="576" t="s">
        <v>5</v>
      </c>
      <c r="D3" s="576" t="s">
        <v>6</v>
      </c>
      <c r="E3" s="577" t="s">
        <v>648</v>
      </c>
      <c r="F3" s="609" t="s">
        <v>649</v>
      </c>
      <c r="G3" s="620" t="s">
        <v>9</v>
      </c>
      <c r="H3" s="622" t="s">
        <v>10</v>
      </c>
      <c r="I3" s="566" t="s">
        <v>11</v>
      </c>
      <c r="J3" s="623" t="s">
        <v>12</v>
      </c>
      <c r="K3" s="569" t="s">
        <v>650</v>
      </c>
      <c r="L3" s="579" t="s">
        <v>651</v>
      </c>
      <c r="M3" s="571" t="s">
        <v>15</v>
      </c>
      <c r="N3" s="365" t="s">
        <v>16</v>
      </c>
      <c r="O3" s="559" t="s">
        <v>17</v>
      </c>
      <c r="P3" s="560" t="s">
        <v>18</v>
      </c>
      <c r="Q3" s="366" t="s">
        <v>19</v>
      </c>
      <c r="R3" s="562" t="s">
        <v>20</v>
      </c>
      <c r="S3" s="564" t="s">
        <v>21</v>
      </c>
      <c r="T3" s="565" t="s">
        <v>22</v>
      </c>
      <c r="U3" s="601" t="s">
        <v>23</v>
      </c>
      <c r="V3" s="565" t="s">
        <v>652</v>
      </c>
    </row>
    <row r="4" spans="1:25" x14ac:dyDescent="0.3">
      <c r="A4" s="605"/>
      <c r="B4" s="605"/>
      <c r="C4" s="605"/>
      <c r="D4" s="605"/>
      <c r="E4" s="608"/>
      <c r="F4" s="610"/>
      <c r="G4" s="621"/>
      <c r="H4" s="622"/>
      <c r="I4" s="566"/>
      <c r="J4" s="624"/>
      <c r="K4" s="569"/>
      <c r="L4" s="579"/>
      <c r="M4" s="618"/>
      <c r="N4" s="366"/>
      <c r="O4" s="619"/>
      <c r="P4" s="562"/>
      <c r="Q4" s="616"/>
      <c r="R4" s="617"/>
      <c r="S4" s="613"/>
      <c r="T4" s="614"/>
      <c r="U4" s="615"/>
      <c r="V4" s="565"/>
    </row>
    <row r="5" spans="1:25" ht="95.25" customHeight="1" x14ac:dyDescent="0.3">
      <c r="A5" s="496">
        <v>1</v>
      </c>
      <c r="B5" s="631">
        <v>10170000</v>
      </c>
      <c r="C5" s="633" t="s">
        <v>653</v>
      </c>
      <c r="D5" s="634" t="s">
        <v>654</v>
      </c>
      <c r="E5" s="557" t="s">
        <v>655</v>
      </c>
      <c r="F5" s="630" t="s">
        <v>656</v>
      </c>
      <c r="G5" s="20">
        <v>1</v>
      </c>
      <c r="H5" s="21" t="s">
        <v>657</v>
      </c>
      <c r="I5" s="22">
        <f>IFERROR(K5/((100+J5)/100),"")</f>
        <v>37548.73949579832</v>
      </c>
      <c r="J5" s="23">
        <f>IF(K5="","",(K5-(K5/1.19))/(K5/1.19)*100)</f>
        <v>19</v>
      </c>
      <c r="K5" s="159">
        <v>44683</v>
      </c>
      <c r="L5" s="5">
        <f>K5*G5</f>
        <v>44683</v>
      </c>
      <c r="M5" s="542">
        <f>IFERROR(AVERAGE(L5:L6),"")</f>
        <v>57603</v>
      </c>
      <c r="N5" s="542">
        <f>IFERROR(HARMEAN(L5:L6),"")</f>
        <v>54705.123153307984</v>
      </c>
      <c r="O5" s="542">
        <f>IFERROR(MEDIAN(L5:L6),"")</f>
        <v>57603</v>
      </c>
      <c r="P5" s="25">
        <f t="shared" ref="P5:P68" si="0">IF(L5="","",L5)</f>
        <v>44683</v>
      </c>
      <c r="Q5" s="544">
        <f>IFERROR(SUM(P5:P6)/COUNTA(K5:K6),"")</f>
        <v>57603</v>
      </c>
      <c r="R5" s="542">
        <f>IFERROR(_xlfn.STDEV.S(L5:L6),"")</f>
        <v>18271.639225860388</v>
      </c>
      <c r="S5" s="545">
        <f>IFERROR(R5/M5,"")</f>
        <v>0.31719943797823702</v>
      </c>
      <c r="T5" s="625" t="s">
        <v>658</v>
      </c>
      <c r="U5" s="540">
        <f>M5</f>
        <v>57603</v>
      </c>
      <c r="V5" s="26" t="s">
        <v>659</v>
      </c>
    </row>
    <row r="6" spans="1:25" ht="73.95" customHeight="1" x14ac:dyDescent="0.3">
      <c r="A6" s="496"/>
      <c r="B6" s="632"/>
      <c r="C6" s="633"/>
      <c r="D6" s="634"/>
      <c r="E6" s="557"/>
      <c r="F6" s="630"/>
      <c r="G6" s="20">
        <v>1</v>
      </c>
      <c r="H6" s="27" t="s">
        <v>660</v>
      </c>
      <c r="I6" s="22">
        <f t="shared" ref="I6:I69" si="1">IFERROR(K6/((100+J6)/100),"")</f>
        <v>59263.025210084037</v>
      </c>
      <c r="J6" s="23">
        <f t="shared" ref="J6:J69" si="2">IF(K6="","",(K6-(K6/1.19))/(K6/1.19)*100)</f>
        <v>18.999999999999993</v>
      </c>
      <c r="K6" s="159">
        <v>70523</v>
      </c>
      <c r="L6" s="5">
        <f>K6*G6</f>
        <v>70523</v>
      </c>
      <c r="M6" s="542"/>
      <c r="N6" s="542"/>
      <c r="O6" s="542"/>
      <c r="P6" s="25">
        <f t="shared" si="0"/>
        <v>70523</v>
      </c>
      <c r="Q6" s="544"/>
      <c r="R6" s="542"/>
      <c r="S6" s="545"/>
      <c r="T6" s="625"/>
      <c r="U6" s="540"/>
      <c r="V6" s="28" t="s">
        <v>661</v>
      </c>
    </row>
    <row r="7" spans="1:25" ht="58.2" customHeight="1" x14ac:dyDescent="0.3">
      <c r="A7" s="496">
        <v>2</v>
      </c>
      <c r="B7" s="626">
        <v>11110000</v>
      </c>
      <c r="C7" s="627" t="s">
        <v>636</v>
      </c>
      <c r="D7" s="628" t="s">
        <v>662</v>
      </c>
      <c r="E7" s="557" t="s">
        <v>655</v>
      </c>
      <c r="F7" s="630" t="s">
        <v>663</v>
      </c>
      <c r="G7" s="20">
        <v>1</v>
      </c>
      <c r="H7" s="21" t="s">
        <v>657</v>
      </c>
      <c r="I7" s="22">
        <f t="shared" si="1"/>
        <v>16810.9243697479</v>
      </c>
      <c r="J7" s="23">
        <f t="shared" si="2"/>
        <v>18.999999999999996</v>
      </c>
      <c r="K7" s="159">
        <v>20005</v>
      </c>
      <c r="L7" s="5">
        <f t="shared" ref="L7:L48" si="3">K7*G7</f>
        <v>20005</v>
      </c>
      <c r="M7" s="542">
        <f>IFERROR(AVERAGE(L7:L8),"")</f>
        <v>27369</v>
      </c>
      <c r="N7" s="542">
        <f>IFERROR(HARMEAN(L7:L8),"")</f>
        <v>25387.616098505609</v>
      </c>
      <c r="O7" s="542">
        <f>IFERROR(MEDIAN(L7:L8),"")</f>
        <v>27369</v>
      </c>
      <c r="P7" s="25">
        <f t="shared" si="0"/>
        <v>20005</v>
      </c>
      <c r="Q7" s="544">
        <f>IFERROR(SUM(P7:P8)/COUNTA(K7:K8),"")</f>
        <v>27369</v>
      </c>
      <c r="R7" s="542">
        <f>IFERROR(_xlfn.STDEV.S(L7:L8),"")</f>
        <v>10414.268673315471</v>
      </c>
      <c r="S7" s="545">
        <f>IFERROR(R7/M7,"")</f>
        <v>0.38051330605120653</v>
      </c>
      <c r="T7" s="625" t="s">
        <v>658</v>
      </c>
      <c r="U7" s="540">
        <f>M7</f>
        <v>27369</v>
      </c>
      <c r="V7" s="26" t="s">
        <v>659</v>
      </c>
    </row>
    <row r="8" spans="1:25" ht="66.75" customHeight="1" x14ac:dyDescent="0.3">
      <c r="A8" s="496"/>
      <c r="B8" s="626"/>
      <c r="C8" s="627"/>
      <c r="D8" s="629"/>
      <c r="E8" s="557"/>
      <c r="F8" s="630"/>
      <c r="G8" s="20">
        <v>1</v>
      </c>
      <c r="H8" s="27" t="s">
        <v>660</v>
      </c>
      <c r="I8" s="22">
        <f t="shared" si="1"/>
        <v>29187.394957983193</v>
      </c>
      <c r="J8" s="23">
        <f t="shared" si="2"/>
        <v>19</v>
      </c>
      <c r="K8" s="159">
        <v>34733</v>
      </c>
      <c r="L8" s="5">
        <f t="shared" si="3"/>
        <v>34733</v>
      </c>
      <c r="M8" s="542"/>
      <c r="N8" s="542"/>
      <c r="O8" s="542"/>
      <c r="P8" s="25">
        <f t="shared" si="0"/>
        <v>34733</v>
      </c>
      <c r="Q8" s="544"/>
      <c r="R8" s="542"/>
      <c r="S8" s="545"/>
      <c r="T8" s="625"/>
      <c r="U8" s="540"/>
      <c r="V8" s="28" t="s">
        <v>664</v>
      </c>
    </row>
    <row r="9" spans="1:25" ht="137.25" customHeight="1" x14ac:dyDescent="0.3">
      <c r="A9" s="496">
        <v>3</v>
      </c>
      <c r="B9" s="631">
        <v>10170000</v>
      </c>
      <c r="C9" s="633" t="s">
        <v>653</v>
      </c>
      <c r="D9" s="635" t="s">
        <v>665</v>
      </c>
      <c r="E9" s="557" t="s">
        <v>655</v>
      </c>
      <c r="F9" s="630" t="s">
        <v>666</v>
      </c>
      <c r="G9" s="20">
        <v>1</v>
      </c>
      <c r="H9" s="21" t="s">
        <v>657</v>
      </c>
      <c r="I9" s="22">
        <f t="shared" si="1"/>
        <v>20792.563025210085</v>
      </c>
      <c r="J9" s="23">
        <f t="shared" si="2"/>
        <v>18.999999999999996</v>
      </c>
      <c r="K9" s="159">
        <v>24743.15</v>
      </c>
      <c r="L9" s="5">
        <f t="shared" si="3"/>
        <v>24743.15</v>
      </c>
      <c r="M9" s="542">
        <f>IFERROR(AVERAGE(L9:L10),"")</f>
        <v>33218.074999999997</v>
      </c>
      <c r="N9" s="542">
        <f>IFERROR(HARMEAN(L9:L10),"")</f>
        <v>31055.868016132787</v>
      </c>
      <c r="O9" s="542">
        <f>IFERROR(MEDIAN(L9:L10),"")</f>
        <v>33218.074999999997</v>
      </c>
      <c r="P9" s="25">
        <f t="shared" si="0"/>
        <v>24743.15</v>
      </c>
      <c r="Q9" s="544">
        <f>IFERROR(SUM(P9:P10)/COUNTA(K9:K10),"")</f>
        <v>33218.074999999997</v>
      </c>
      <c r="R9" s="542">
        <f>IFERROR(_xlfn.STDEV.S(L9:L10),"")</f>
        <v>11985.353875094823</v>
      </c>
      <c r="S9" s="545">
        <f>IFERROR(R9/M9,"")</f>
        <v>0.36080820080919268</v>
      </c>
      <c r="T9" s="625" t="s">
        <v>658</v>
      </c>
      <c r="U9" s="540">
        <f>M9</f>
        <v>33218.074999999997</v>
      </c>
      <c r="V9" s="26" t="s">
        <v>659</v>
      </c>
    </row>
    <row r="10" spans="1:25" ht="63" customHeight="1" x14ac:dyDescent="0.3">
      <c r="A10" s="496"/>
      <c r="B10" s="632"/>
      <c r="C10" s="633"/>
      <c r="D10" s="634"/>
      <c r="E10" s="557"/>
      <c r="F10" s="630"/>
      <c r="G10" s="20">
        <v>1</v>
      </c>
      <c r="H10" s="27" t="s">
        <v>667</v>
      </c>
      <c r="I10" s="22">
        <f t="shared" si="1"/>
        <v>35036.134453781517</v>
      </c>
      <c r="J10" s="23">
        <f t="shared" si="2"/>
        <v>18.999999999999986</v>
      </c>
      <c r="K10" s="159">
        <v>41693</v>
      </c>
      <c r="L10" s="5">
        <f t="shared" si="3"/>
        <v>41693</v>
      </c>
      <c r="M10" s="542"/>
      <c r="N10" s="542"/>
      <c r="O10" s="542"/>
      <c r="P10" s="25">
        <f t="shared" si="0"/>
        <v>41693</v>
      </c>
      <c r="Q10" s="544"/>
      <c r="R10" s="542"/>
      <c r="S10" s="545"/>
      <c r="T10" s="625"/>
      <c r="U10" s="540"/>
      <c r="V10" s="28" t="s">
        <v>668</v>
      </c>
    </row>
    <row r="11" spans="1:25" ht="48" customHeight="1" x14ac:dyDescent="0.3">
      <c r="A11" s="496">
        <v>4</v>
      </c>
      <c r="B11" s="636">
        <v>24120000</v>
      </c>
      <c r="C11" s="633" t="s">
        <v>638</v>
      </c>
      <c r="D11" s="637" t="s">
        <v>669</v>
      </c>
      <c r="E11" s="638" t="s">
        <v>290</v>
      </c>
      <c r="F11" s="639" t="s">
        <v>670</v>
      </c>
      <c r="G11" s="20">
        <v>1</v>
      </c>
      <c r="H11" s="21" t="s">
        <v>657</v>
      </c>
      <c r="I11" s="22">
        <f t="shared" si="1"/>
        <v>7466.7421008403362</v>
      </c>
      <c r="J11" s="23">
        <f t="shared" si="2"/>
        <v>18.999999999999996</v>
      </c>
      <c r="K11" s="159">
        <v>8885.4231</v>
      </c>
      <c r="L11" s="5">
        <f t="shared" si="3"/>
        <v>8885.4231</v>
      </c>
      <c r="M11" s="542">
        <f t="shared" ref="M11" si="4">IFERROR(AVERAGE(L11:L12),"")</f>
        <v>11942.71155</v>
      </c>
      <c r="N11" s="542">
        <f>IFERROR(HARMEAN(L11:L12),"")</f>
        <v>11160.057407565873</v>
      </c>
      <c r="O11" s="542">
        <f>IFERROR(MEDIAN(L11:L12),"")</f>
        <v>11942.71155</v>
      </c>
      <c r="P11" s="25">
        <f t="shared" si="0"/>
        <v>8885.4231</v>
      </c>
      <c r="Q11" s="544">
        <f>IFERROR(SUM(P11:P12)/COUNTA(K11:K12),"")</f>
        <v>11942.71155</v>
      </c>
      <c r="R11" s="542">
        <f>IFERROR(_xlfn.STDEV.S(L11:L12),"")</f>
        <v>4323.6587900766172</v>
      </c>
      <c r="S11" s="545">
        <f>IFERROR(R11/M11,"")</f>
        <v>0.3620332595302963</v>
      </c>
      <c r="T11" s="625" t="s">
        <v>658</v>
      </c>
      <c r="U11" s="540">
        <f>M11</f>
        <v>11942.71155</v>
      </c>
      <c r="V11" s="26" t="s">
        <v>659</v>
      </c>
    </row>
    <row r="12" spans="1:25" ht="34.200000000000003" customHeight="1" x14ac:dyDescent="0.3">
      <c r="A12" s="496"/>
      <c r="B12" s="636"/>
      <c r="C12" s="633"/>
      <c r="D12" s="637"/>
      <c r="E12" s="638"/>
      <c r="F12" s="639"/>
      <c r="G12" s="20">
        <v>1</v>
      </c>
      <c r="H12" s="27" t="s">
        <v>671</v>
      </c>
      <c r="I12" s="22">
        <f t="shared" si="1"/>
        <v>12605.042016806723</v>
      </c>
      <c r="J12" s="23">
        <f t="shared" si="2"/>
        <v>18.999999999999996</v>
      </c>
      <c r="K12" s="159">
        <v>15000</v>
      </c>
      <c r="L12" s="5">
        <f t="shared" si="3"/>
        <v>15000</v>
      </c>
      <c r="M12" s="542"/>
      <c r="N12" s="542"/>
      <c r="O12" s="542"/>
      <c r="P12" s="25">
        <f t="shared" si="0"/>
        <v>15000</v>
      </c>
      <c r="Q12" s="544"/>
      <c r="R12" s="542"/>
      <c r="S12" s="545"/>
      <c r="T12" s="625"/>
      <c r="U12" s="540"/>
      <c r="V12" s="28"/>
    </row>
    <row r="13" spans="1:25" ht="45" customHeight="1" x14ac:dyDescent="0.3">
      <c r="A13" s="496">
        <v>5</v>
      </c>
      <c r="B13" s="636">
        <v>24120000</v>
      </c>
      <c r="C13" s="633" t="s">
        <v>638</v>
      </c>
      <c r="D13" s="637" t="s">
        <v>672</v>
      </c>
      <c r="E13" s="638" t="s">
        <v>290</v>
      </c>
      <c r="F13" s="639" t="s">
        <v>670</v>
      </c>
      <c r="G13" s="20">
        <v>1</v>
      </c>
      <c r="H13" s="21" t="s">
        <v>657</v>
      </c>
      <c r="I13" s="22">
        <f t="shared" si="1"/>
        <v>12033.142857142859</v>
      </c>
      <c r="J13" s="23">
        <f t="shared" si="2"/>
        <v>18.999999999999989</v>
      </c>
      <c r="K13" s="159">
        <v>14319.44</v>
      </c>
      <c r="L13" s="5">
        <f t="shared" si="3"/>
        <v>14319.44</v>
      </c>
      <c r="M13" s="542">
        <f t="shared" ref="M13" si="5">IFERROR(AVERAGE(L13:L14),"")</f>
        <v>17034.72</v>
      </c>
      <c r="N13" s="542">
        <f>IFERROR(HARMEAN(L13:L14),"")</f>
        <v>16601.913034085679</v>
      </c>
      <c r="O13" s="542">
        <f>IFERROR(MEDIAN(L13:L14),"")</f>
        <v>17034.72</v>
      </c>
      <c r="P13" s="25">
        <f t="shared" si="0"/>
        <v>14319.44</v>
      </c>
      <c r="Q13" s="544">
        <f>IFERROR(SUM(P13:P14)/COUNTA(K13:K14),"")</f>
        <v>17034.72</v>
      </c>
      <c r="R13" s="542">
        <f>IFERROR(_xlfn.STDEV.S(L13:L14),"")</f>
        <v>3839.9858016404</v>
      </c>
      <c r="S13" s="545">
        <f>IFERROR(R13/M13,"")</f>
        <v>0.22542112823929009</v>
      </c>
      <c r="T13" s="625" t="s">
        <v>658</v>
      </c>
      <c r="U13" s="540">
        <f>M13</f>
        <v>17034.72</v>
      </c>
      <c r="V13" s="26" t="s">
        <v>659</v>
      </c>
    </row>
    <row r="14" spans="1:25" ht="37.200000000000003" customHeight="1" x14ac:dyDescent="0.3">
      <c r="A14" s="496"/>
      <c r="B14" s="636"/>
      <c r="C14" s="633"/>
      <c r="D14" s="637"/>
      <c r="E14" s="638"/>
      <c r="F14" s="639"/>
      <c r="G14" s="20">
        <v>1</v>
      </c>
      <c r="H14" s="27" t="s">
        <v>673</v>
      </c>
      <c r="I14" s="22">
        <f t="shared" si="1"/>
        <v>16596.638655462186</v>
      </c>
      <c r="J14" s="23">
        <f t="shared" si="2"/>
        <v>18.999999999999993</v>
      </c>
      <c r="K14" s="159">
        <v>19750</v>
      </c>
      <c r="L14" s="5">
        <f t="shared" si="3"/>
        <v>19750</v>
      </c>
      <c r="M14" s="542"/>
      <c r="N14" s="542"/>
      <c r="O14" s="542"/>
      <c r="P14" s="25">
        <f t="shared" si="0"/>
        <v>19750</v>
      </c>
      <c r="Q14" s="544"/>
      <c r="R14" s="542"/>
      <c r="S14" s="545"/>
      <c r="T14" s="625"/>
      <c r="U14" s="540"/>
      <c r="V14" s="28" t="s">
        <v>674</v>
      </c>
    </row>
    <row r="15" spans="1:25" ht="53.4" customHeight="1" x14ac:dyDescent="0.3">
      <c r="A15" s="496">
        <v>6</v>
      </c>
      <c r="B15" s="636">
        <v>24120000</v>
      </c>
      <c r="C15" s="633" t="s">
        <v>638</v>
      </c>
      <c r="D15" s="637" t="s">
        <v>675</v>
      </c>
      <c r="E15" s="638" t="s">
        <v>290</v>
      </c>
      <c r="F15" s="639" t="s">
        <v>670</v>
      </c>
      <c r="G15" s="20">
        <v>1</v>
      </c>
      <c r="H15" s="21" t="s">
        <v>657</v>
      </c>
      <c r="I15" s="22">
        <f t="shared" si="1"/>
        <v>5560.9046218487392</v>
      </c>
      <c r="J15" s="23">
        <f t="shared" si="2"/>
        <v>19</v>
      </c>
      <c r="K15" s="159">
        <v>6617.4764999999998</v>
      </c>
      <c r="L15" s="5">
        <f t="shared" si="3"/>
        <v>6617.4764999999998</v>
      </c>
      <c r="M15" s="542">
        <f t="shared" ref="M15" si="6">IFERROR(AVERAGE(L15:L16),"")</f>
        <v>7771.2382500000003</v>
      </c>
      <c r="N15" s="542">
        <f>IFERROR(HARMEAN(L15:L16),"")</f>
        <v>7599.9442897661784</v>
      </c>
      <c r="O15" s="542">
        <f>IFERROR(MEDIAN(L15:L16),"")</f>
        <v>7771.2382500000003</v>
      </c>
      <c r="P15" s="25">
        <f t="shared" si="0"/>
        <v>6617.4764999999998</v>
      </c>
      <c r="Q15" s="544">
        <f>IFERROR(SUM(P15:P16)/COUNTA(K15:K16),"")</f>
        <v>7771.2382500000003</v>
      </c>
      <c r="R15" s="542">
        <f>IFERROR(_xlfn.STDEV.S(L15:L16),"")</f>
        <v>1631.665514597312</v>
      </c>
      <c r="S15" s="545">
        <f>IFERROR(R15/M15,"")</f>
        <v>0.20996210154762815</v>
      </c>
      <c r="T15" s="625" t="s">
        <v>658</v>
      </c>
      <c r="U15" s="540">
        <f>M15</f>
        <v>7771.2382500000003</v>
      </c>
      <c r="V15" s="26" t="s">
        <v>659</v>
      </c>
    </row>
    <row r="16" spans="1:25" ht="61.5" customHeight="1" x14ac:dyDescent="0.3">
      <c r="A16" s="496"/>
      <c r="B16" s="636"/>
      <c r="C16" s="633"/>
      <c r="D16" s="637"/>
      <c r="E16" s="638"/>
      <c r="F16" s="639"/>
      <c r="G16" s="20">
        <v>1</v>
      </c>
      <c r="H16" s="27" t="s">
        <v>676</v>
      </c>
      <c r="I16" s="22">
        <f t="shared" si="1"/>
        <v>7500</v>
      </c>
      <c r="J16" s="23">
        <f t="shared" si="2"/>
        <v>19</v>
      </c>
      <c r="K16" s="159">
        <v>8925</v>
      </c>
      <c r="L16" s="5">
        <f t="shared" si="3"/>
        <v>8925</v>
      </c>
      <c r="M16" s="542"/>
      <c r="N16" s="542"/>
      <c r="O16" s="542"/>
      <c r="P16" s="25">
        <f t="shared" si="0"/>
        <v>8925</v>
      </c>
      <c r="Q16" s="544"/>
      <c r="R16" s="542"/>
      <c r="S16" s="545"/>
      <c r="T16" s="625"/>
      <c r="U16" s="540"/>
      <c r="V16" s="28" t="s">
        <v>677</v>
      </c>
    </row>
    <row r="17" spans="1:27" ht="112.5" customHeight="1" x14ac:dyDescent="0.3">
      <c r="A17" s="496">
        <v>7</v>
      </c>
      <c r="B17" s="636">
        <v>10150000</v>
      </c>
      <c r="C17" s="633" t="s">
        <v>678</v>
      </c>
      <c r="D17" s="637" t="s">
        <v>679</v>
      </c>
      <c r="E17" s="638" t="s">
        <v>141</v>
      </c>
      <c r="F17" s="639" t="s">
        <v>680</v>
      </c>
      <c r="G17" s="20">
        <v>1</v>
      </c>
      <c r="H17" s="27" t="s">
        <v>667</v>
      </c>
      <c r="I17" s="22">
        <f t="shared" si="1"/>
        <v>41121.008403361346</v>
      </c>
      <c r="J17" s="23">
        <f t="shared" si="2"/>
        <v>18.999999999999996</v>
      </c>
      <c r="K17" s="159">
        <v>48934</v>
      </c>
      <c r="L17" s="5">
        <f t="shared" si="3"/>
        <v>48934</v>
      </c>
      <c r="M17" s="542">
        <f>IFERROR(AVERAGE(L17:L18),"")</f>
        <v>56967</v>
      </c>
      <c r="N17" s="542">
        <f>IFERROR(HARMEAN(L17:L18),"")</f>
        <v>55834.254919514809</v>
      </c>
      <c r="O17" s="542">
        <f>IFERROR(MEDIAN(L17:L18),"")</f>
        <v>56967</v>
      </c>
      <c r="P17" s="25">
        <f t="shared" si="0"/>
        <v>48934</v>
      </c>
      <c r="Q17" s="544">
        <f>IFERROR(SUM(P17:P18)/COUNTA(K17:K18),"")</f>
        <v>56967</v>
      </c>
      <c r="R17" s="542">
        <f>IFERROR(_xlfn.STDEV.S(L17:L18),"")</f>
        <v>11360.377546543072</v>
      </c>
      <c r="S17" s="545">
        <f>IFERROR(R17/M17,"")</f>
        <v>0.19942032310887131</v>
      </c>
      <c r="T17" s="625" t="s">
        <v>658</v>
      </c>
      <c r="U17" s="540">
        <f>M17</f>
        <v>56967</v>
      </c>
      <c r="V17" s="28" t="s">
        <v>681</v>
      </c>
    </row>
    <row r="18" spans="1:27" ht="135" customHeight="1" x14ac:dyDescent="0.3">
      <c r="A18" s="496"/>
      <c r="B18" s="636"/>
      <c r="C18" s="633"/>
      <c r="D18" s="637"/>
      <c r="E18" s="638"/>
      <c r="F18" s="639"/>
      <c r="G18" s="20">
        <v>1</v>
      </c>
      <c r="H18" s="27" t="s">
        <v>671</v>
      </c>
      <c r="I18" s="22">
        <f t="shared" si="1"/>
        <v>54621.848739495799</v>
      </c>
      <c r="J18" s="23">
        <f t="shared" si="2"/>
        <v>18.999999999999996</v>
      </c>
      <c r="K18" s="159">
        <v>65000</v>
      </c>
      <c r="L18" s="5">
        <f t="shared" si="3"/>
        <v>65000</v>
      </c>
      <c r="M18" s="542"/>
      <c r="N18" s="542"/>
      <c r="O18" s="542"/>
      <c r="P18" s="25">
        <f t="shared" si="0"/>
        <v>65000</v>
      </c>
      <c r="Q18" s="544"/>
      <c r="R18" s="542"/>
      <c r="S18" s="545"/>
      <c r="T18" s="625"/>
      <c r="U18" s="540"/>
      <c r="V18" s="29"/>
    </row>
    <row r="19" spans="1:27" ht="54.75" customHeight="1" x14ac:dyDescent="0.3">
      <c r="A19" s="496">
        <v>8</v>
      </c>
      <c r="B19" s="626">
        <v>11110000</v>
      </c>
      <c r="C19" s="627" t="s">
        <v>636</v>
      </c>
      <c r="D19" s="635" t="s">
        <v>682</v>
      </c>
      <c r="E19" s="638" t="s">
        <v>683</v>
      </c>
      <c r="F19" s="639" t="s">
        <v>684</v>
      </c>
      <c r="G19" s="20">
        <v>1</v>
      </c>
      <c r="H19" s="27" t="s">
        <v>667</v>
      </c>
      <c r="I19" s="22">
        <f t="shared" si="1"/>
        <v>37858.823529411769</v>
      </c>
      <c r="J19" s="23">
        <f t="shared" si="2"/>
        <v>18.999999999999986</v>
      </c>
      <c r="K19" s="160">
        <v>45052</v>
      </c>
      <c r="L19" s="5">
        <f t="shared" si="3"/>
        <v>45052</v>
      </c>
      <c r="M19" s="542">
        <f t="shared" ref="M19" si="7">IFERROR(AVERAGE(L19:L20),"")</f>
        <v>47526</v>
      </c>
      <c r="N19" s="542">
        <f>IFERROR(HARMEAN(L19:L20),"")</f>
        <v>47397.214156461727</v>
      </c>
      <c r="O19" s="542">
        <f>IFERROR(MEDIAN(L19:L20),"")</f>
        <v>47526</v>
      </c>
      <c r="P19" s="25">
        <f t="shared" si="0"/>
        <v>45052</v>
      </c>
      <c r="Q19" s="544">
        <f>IFERROR(SUM(P19:P20)/COUNTA(K19:K20),"")</f>
        <v>47526</v>
      </c>
      <c r="R19" s="542">
        <f>IFERROR(_xlfn.STDEV.S(L19:L20),"")</f>
        <v>3498.7643533110372</v>
      </c>
      <c r="S19" s="545">
        <f>IFERROR(R19/M19,"")</f>
        <v>7.3617900797690469E-2</v>
      </c>
      <c r="T19" s="625" t="s">
        <v>658</v>
      </c>
      <c r="U19" s="540">
        <f>M19</f>
        <v>47526</v>
      </c>
      <c r="V19" s="28" t="s">
        <v>685</v>
      </c>
    </row>
    <row r="20" spans="1:27" ht="41.25" customHeight="1" x14ac:dyDescent="0.3">
      <c r="A20" s="496"/>
      <c r="B20" s="626"/>
      <c r="C20" s="627"/>
      <c r="D20" s="637"/>
      <c r="E20" s="638"/>
      <c r="F20" s="639"/>
      <c r="G20" s="20">
        <v>1</v>
      </c>
      <c r="H20" s="27" t="s">
        <v>671</v>
      </c>
      <c r="I20" s="22">
        <f t="shared" si="1"/>
        <v>42016.806722689078</v>
      </c>
      <c r="J20" s="23">
        <f t="shared" si="2"/>
        <v>18.999999999999993</v>
      </c>
      <c r="K20" s="159">
        <v>50000</v>
      </c>
      <c r="L20" s="5">
        <f t="shared" si="3"/>
        <v>50000</v>
      </c>
      <c r="M20" s="542"/>
      <c r="N20" s="542"/>
      <c r="O20" s="542"/>
      <c r="P20" s="25">
        <f t="shared" si="0"/>
        <v>50000</v>
      </c>
      <c r="Q20" s="544"/>
      <c r="R20" s="542"/>
      <c r="S20" s="545"/>
      <c r="T20" s="625"/>
      <c r="U20" s="540"/>
      <c r="V20" s="29"/>
    </row>
    <row r="21" spans="1:27" ht="57.6" x14ac:dyDescent="0.3">
      <c r="A21" s="496">
        <v>9</v>
      </c>
      <c r="B21" s="636" t="s">
        <v>686</v>
      </c>
      <c r="C21" s="633" t="s">
        <v>678</v>
      </c>
      <c r="D21" s="637" t="s">
        <v>687</v>
      </c>
      <c r="E21" s="638" t="s">
        <v>683</v>
      </c>
      <c r="F21" s="639" t="s">
        <v>688</v>
      </c>
      <c r="G21" s="20">
        <v>1</v>
      </c>
      <c r="H21" s="27" t="s">
        <v>667</v>
      </c>
      <c r="I21" s="22">
        <f t="shared" si="1"/>
        <v>11970.588235294119</v>
      </c>
      <c r="J21" s="23">
        <f t="shared" si="2"/>
        <v>18.999999999999986</v>
      </c>
      <c r="K21" s="159">
        <v>14245</v>
      </c>
      <c r="L21" s="5">
        <f t="shared" si="3"/>
        <v>14245</v>
      </c>
      <c r="M21" s="542">
        <f t="shared" ref="M21" si="8">IFERROR(AVERAGE(L21:L22),"")</f>
        <v>9622.5</v>
      </c>
      <c r="N21" s="542">
        <f>IFERROR(HARMEAN(L21:L22),"")</f>
        <v>7401.922577292803</v>
      </c>
      <c r="O21" s="542">
        <f>IFERROR(MEDIAN(L21:L22),"")</f>
        <v>9622.5</v>
      </c>
      <c r="P21" s="25">
        <f t="shared" si="0"/>
        <v>14245</v>
      </c>
      <c r="Q21" s="544">
        <f>IFERROR(SUM(P21:P22)/COUNTA(K21:K22),"")</f>
        <v>9622.5</v>
      </c>
      <c r="R21" s="542">
        <f>IFERROR(_xlfn.STDEV.S(L21:L22),"")</f>
        <v>6537.2021920696316</v>
      </c>
      <c r="S21" s="545">
        <f>IFERROR(R21/M21,"")</f>
        <v>0.67936629691552419</v>
      </c>
      <c r="T21" s="625" t="s">
        <v>658</v>
      </c>
      <c r="U21" s="540">
        <f>M21</f>
        <v>9622.5</v>
      </c>
      <c r="V21" s="28" t="s">
        <v>689</v>
      </c>
    </row>
    <row r="22" spans="1:27" ht="38.4" customHeight="1" x14ac:dyDescent="0.3">
      <c r="A22" s="496"/>
      <c r="B22" s="636"/>
      <c r="C22" s="633"/>
      <c r="D22" s="637"/>
      <c r="E22" s="638"/>
      <c r="F22" s="639"/>
      <c r="G22" s="20">
        <v>1</v>
      </c>
      <c r="H22" s="27" t="s">
        <v>671</v>
      </c>
      <c r="I22" s="22">
        <f t="shared" si="1"/>
        <v>4201.680672268908</v>
      </c>
      <c r="J22" s="23">
        <f t="shared" si="2"/>
        <v>18.999999999999989</v>
      </c>
      <c r="K22" s="159">
        <v>5000</v>
      </c>
      <c r="L22" s="5">
        <f t="shared" si="3"/>
        <v>5000</v>
      </c>
      <c r="M22" s="542"/>
      <c r="N22" s="542"/>
      <c r="O22" s="542"/>
      <c r="P22" s="25">
        <f t="shared" si="0"/>
        <v>5000</v>
      </c>
      <c r="Q22" s="544"/>
      <c r="R22" s="542"/>
      <c r="S22" s="545"/>
      <c r="T22" s="625"/>
      <c r="U22" s="540"/>
      <c r="V22" s="28"/>
    </row>
    <row r="23" spans="1:27" ht="57.6" x14ac:dyDescent="0.3">
      <c r="A23" s="496">
        <v>10</v>
      </c>
      <c r="B23" s="636" t="s">
        <v>686</v>
      </c>
      <c r="C23" s="633" t="s">
        <v>678</v>
      </c>
      <c r="D23" s="637" t="s">
        <v>690</v>
      </c>
      <c r="E23" s="638" t="s">
        <v>683</v>
      </c>
      <c r="F23" s="639" t="s">
        <v>688</v>
      </c>
      <c r="G23" s="20">
        <v>1</v>
      </c>
      <c r="H23" s="27" t="s">
        <v>667</v>
      </c>
      <c r="I23" s="22">
        <f t="shared" si="1"/>
        <v>11970.588235294119</v>
      </c>
      <c r="J23" s="23">
        <f t="shared" si="2"/>
        <v>18.999999999999986</v>
      </c>
      <c r="K23" s="159">
        <v>14245</v>
      </c>
      <c r="L23" s="5">
        <f t="shared" si="3"/>
        <v>14245</v>
      </c>
      <c r="M23" s="542">
        <f t="shared" ref="M23" si="9">IFERROR(AVERAGE(L23:L24),"")</f>
        <v>9622.5</v>
      </c>
      <c r="N23" s="542">
        <f>IFERROR(HARMEAN(L23:L24),"")</f>
        <v>7401.922577292803</v>
      </c>
      <c r="O23" s="542">
        <f>IFERROR(MEDIAN(L23:L24),"")</f>
        <v>9622.5</v>
      </c>
      <c r="P23" s="25">
        <f t="shared" si="0"/>
        <v>14245</v>
      </c>
      <c r="Q23" s="544">
        <f>IFERROR(SUM(P23:P24)/COUNTA(K23:K24),"")</f>
        <v>9622.5</v>
      </c>
      <c r="R23" s="542">
        <f>IFERROR(_xlfn.STDEV.S(L23:L24),"")</f>
        <v>6537.2021920696316</v>
      </c>
      <c r="S23" s="545">
        <f>IFERROR(R23/M23,"")</f>
        <v>0.67936629691552419</v>
      </c>
      <c r="T23" s="625" t="s">
        <v>658</v>
      </c>
      <c r="U23" s="540">
        <f>M23</f>
        <v>9622.5</v>
      </c>
      <c r="V23" s="28" t="s">
        <v>691</v>
      </c>
    </row>
    <row r="24" spans="1:27" ht="40.799999999999997" customHeight="1" x14ac:dyDescent="0.3">
      <c r="A24" s="496"/>
      <c r="B24" s="636"/>
      <c r="C24" s="633"/>
      <c r="D24" s="637"/>
      <c r="E24" s="638"/>
      <c r="F24" s="639"/>
      <c r="G24" s="20">
        <v>1</v>
      </c>
      <c r="H24" s="27" t="s">
        <v>671</v>
      </c>
      <c r="I24" s="22">
        <f t="shared" si="1"/>
        <v>4201.680672268908</v>
      </c>
      <c r="J24" s="23">
        <f t="shared" si="2"/>
        <v>18.999999999999989</v>
      </c>
      <c r="K24" s="159">
        <v>5000</v>
      </c>
      <c r="L24" s="5">
        <f t="shared" si="3"/>
        <v>5000</v>
      </c>
      <c r="M24" s="542"/>
      <c r="N24" s="542"/>
      <c r="O24" s="542"/>
      <c r="P24" s="25">
        <f t="shared" si="0"/>
        <v>5000</v>
      </c>
      <c r="Q24" s="544"/>
      <c r="R24" s="542"/>
      <c r="S24" s="545"/>
      <c r="T24" s="625"/>
      <c r="U24" s="540"/>
      <c r="V24" s="28"/>
    </row>
    <row r="25" spans="1:27" ht="48" customHeight="1" x14ac:dyDescent="0.3">
      <c r="A25" s="496">
        <v>11</v>
      </c>
      <c r="B25" s="636" t="s">
        <v>686</v>
      </c>
      <c r="C25" s="633" t="s">
        <v>678</v>
      </c>
      <c r="D25" s="637" t="s">
        <v>692</v>
      </c>
      <c r="E25" s="640" t="s">
        <v>683</v>
      </c>
      <c r="F25" s="641" t="s">
        <v>693</v>
      </c>
      <c r="G25" s="20">
        <v>1</v>
      </c>
      <c r="H25" s="21" t="s">
        <v>694</v>
      </c>
      <c r="I25" s="22">
        <f t="shared" si="1"/>
        <v>37552.941176470587</v>
      </c>
      <c r="J25" s="23">
        <f t="shared" si="2"/>
        <v>19.000000000000004</v>
      </c>
      <c r="K25" s="159">
        <v>44688</v>
      </c>
      <c r="L25" s="5">
        <f t="shared" si="3"/>
        <v>44688</v>
      </c>
      <c r="M25" s="542">
        <f t="shared" ref="M25" si="10">IFERROR(AVERAGE(L25:L26),"")</f>
        <v>46750</v>
      </c>
      <c r="N25" s="542">
        <f>IFERROR(HARMEAN(L25:L26),"")</f>
        <v>46659.051465240642</v>
      </c>
      <c r="O25" s="542">
        <f>IFERROR(MEDIAN(L25:L26),"")</f>
        <v>46750</v>
      </c>
      <c r="P25" s="25">
        <f t="shared" si="0"/>
        <v>44688</v>
      </c>
      <c r="Q25" s="544">
        <f>IFERROR(SUM(P25:P26)/COUNTA(K25:K26),"")</f>
        <v>46750</v>
      </c>
      <c r="R25" s="542">
        <f>IFERROR(_xlfn.STDEV.S(L25:L26),"")</f>
        <v>2916.1083656133219</v>
      </c>
      <c r="S25" s="545">
        <f>IFERROR(R25/M25,"")</f>
        <v>6.2376649531835762E-2</v>
      </c>
      <c r="T25" s="625" t="s">
        <v>658</v>
      </c>
      <c r="U25" s="540">
        <f>M25</f>
        <v>46750</v>
      </c>
      <c r="V25" s="28" t="s">
        <v>695</v>
      </c>
      <c r="AA25" s="6"/>
    </row>
    <row r="26" spans="1:27" ht="88.5" customHeight="1" x14ac:dyDescent="0.3">
      <c r="A26" s="496"/>
      <c r="B26" s="636"/>
      <c r="C26" s="633"/>
      <c r="D26" s="637"/>
      <c r="E26" s="640"/>
      <c r="F26" s="641"/>
      <c r="G26" s="20">
        <v>1</v>
      </c>
      <c r="H26" s="27" t="s">
        <v>696</v>
      </c>
      <c r="I26" s="22">
        <f t="shared" si="1"/>
        <v>41018.487394957985</v>
      </c>
      <c r="J26" s="23">
        <f t="shared" si="2"/>
        <v>18.999999999999993</v>
      </c>
      <c r="K26" s="159">
        <v>48812</v>
      </c>
      <c r="L26" s="5">
        <f t="shared" si="3"/>
        <v>48812</v>
      </c>
      <c r="M26" s="542"/>
      <c r="N26" s="542"/>
      <c r="O26" s="542"/>
      <c r="P26" s="25">
        <f t="shared" si="0"/>
        <v>48812</v>
      </c>
      <c r="Q26" s="544"/>
      <c r="R26" s="542"/>
      <c r="S26" s="545"/>
      <c r="T26" s="625"/>
      <c r="U26" s="540"/>
      <c r="V26" s="28" t="s">
        <v>697</v>
      </c>
    </row>
    <row r="27" spans="1:27" ht="72" x14ac:dyDescent="0.3">
      <c r="A27" s="496">
        <v>12</v>
      </c>
      <c r="B27" s="636" t="s">
        <v>686</v>
      </c>
      <c r="C27" s="633" t="s">
        <v>678</v>
      </c>
      <c r="D27" s="637" t="s">
        <v>698</v>
      </c>
      <c r="E27" s="638" t="s">
        <v>683</v>
      </c>
      <c r="F27" s="639" t="s">
        <v>699</v>
      </c>
      <c r="G27" s="20">
        <v>1</v>
      </c>
      <c r="H27" s="21" t="s">
        <v>667</v>
      </c>
      <c r="I27" s="22">
        <f t="shared" si="1"/>
        <v>15400.840336134455</v>
      </c>
      <c r="J27" s="23">
        <f t="shared" si="2"/>
        <v>18.999999999999989</v>
      </c>
      <c r="K27" s="159">
        <v>18327</v>
      </c>
      <c r="L27" s="5">
        <f t="shared" si="3"/>
        <v>18327</v>
      </c>
      <c r="M27" s="542">
        <f t="shared" ref="M27" si="11">IFERROR(AVERAGE(L27:L28),"")</f>
        <v>13663.5</v>
      </c>
      <c r="N27" s="542">
        <f>IFERROR(HARMEAN(L27:L28),"")</f>
        <v>12071.797123723789</v>
      </c>
      <c r="O27" s="542">
        <f>IFERROR(MEDIAN(L27:L28),"")</f>
        <v>13663.5</v>
      </c>
      <c r="P27" s="25">
        <f t="shared" si="0"/>
        <v>18327</v>
      </c>
      <c r="Q27" s="544">
        <f>IFERROR(SUM(P27:P28)/COUNTA(K27:K28),"")</f>
        <v>13663.5</v>
      </c>
      <c r="R27" s="542">
        <f>IFERROR(_xlfn.STDEV.S(L27:L28),"")</f>
        <v>6595.1849481269292</v>
      </c>
      <c r="S27" s="545">
        <f>IFERROR(R27/M27,"")</f>
        <v>0.4826863503587609</v>
      </c>
      <c r="T27" s="625" t="s">
        <v>658</v>
      </c>
      <c r="U27" s="540">
        <f>M27</f>
        <v>13663.5</v>
      </c>
      <c r="V27" s="28" t="s">
        <v>700</v>
      </c>
    </row>
    <row r="28" spans="1:27" ht="47.4" customHeight="1" x14ac:dyDescent="0.3">
      <c r="A28" s="496"/>
      <c r="B28" s="636"/>
      <c r="C28" s="633"/>
      <c r="D28" s="637"/>
      <c r="E28" s="638"/>
      <c r="F28" s="639"/>
      <c r="G28" s="20">
        <v>1</v>
      </c>
      <c r="H28" s="27" t="s">
        <v>671</v>
      </c>
      <c r="I28" s="22">
        <f t="shared" si="1"/>
        <v>7563.0252100840344</v>
      </c>
      <c r="J28" s="23">
        <f t="shared" si="2"/>
        <v>18.999999999999989</v>
      </c>
      <c r="K28" s="159">
        <v>9000</v>
      </c>
      <c r="L28" s="5">
        <f t="shared" si="3"/>
        <v>9000</v>
      </c>
      <c r="M28" s="542"/>
      <c r="N28" s="542"/>
      <c r="O28" s="542"/>
      <c r="P28" s="25">
        <f t="shared" si="0"/>
        <v>9000</v>
      </c>
      <c r="Q28" s="544"/>
      <c r="R28" s="542"/>
      <c r="S28" s="545"/>
      <c r="T28" s="625"/>
      <c r="U28" s="540"/>
      <c r="V28" s="28"/>
    </row>
    <row r="29" spans="1:27" ht="57.6" x14ac:dyDescent="0.3">
      <c r="A29" s="496">
        <v>13</v>
      </c>
      <c r="B29" s="636" t="s">
        <v>686</v>
      </c>
      <c r="C29" s="633" t="s">
        <v>678</v>
      </c>
      <c r="D29" s="637" t="s">
        <v>701</v>
      </c>
      <c r="E29" s="638" t="s">
        <v>683</v>
      </c>
      <c r="F29" s="639" t="s">
        <v>702</v>
      </c>
      <c r="G29" s="20">
        <v>1</v>
      </c>
      <c r="H29" s="21" t="s">
        <v>667</v>
      </c>
      <c r="I29" s="22">
        <f t="shared" si="1"/>
        <v>15400.840336134455</v>
      </c>
      <c r="J29" s="23">
        <f t="shared" si="2"/>
        <v>18.999999999999989</v>
      </c>
      <c r="K29" s="159">
        <v>18327</v>
      </c>
      <c r="L29" s="5">
        <f t="shared" si="3"/>
        <v>18327</v>
      </c>
      <c r="M29" s="542">
        <f t="shared" ref="M29" si="12">IFERROR(AVERAGE(L29:L30),"")</f>
        <v>13663.5</v>
      </c>
      <c r="N29" s="542">
        <f>IFERROR(HARMEAN(L29:L30),"")</f>
        <v>12071.797123723789</v>
      </c>
      <c r="O29" s="542">
        <f>IFERROR(MEDIAN(L29:L30),"")</f>
        <v>13663.5</v>
      </c>
      <c r="P29" s="25">
        <f t="shared" si="0"/>
        <v>18327</v>
      </c>
      <c r="Q29" s="544">
        <f>IFERROR(SUM(P29:P30)/COUNTA(K29:K30),"")</f>
        <v>13663.5</v>
      </c>
      <c r="R29" s="542">
        <f>IFERROR(_xlfn.STDEV.S(L29:L30),"")</f>
        <v>6595.1849481269292</v>
      </c>
      <c r="S29" s="545">
        <f>IFERROR(R29/M29,"")</f>
        <v>0.4826863503587609</v>
      </c>
      <c r="T29" s="625" t="s">
        <v>658</v>
      </c>
      <c r="U29" s="540">
        <f>M29</f>
        <v>13663.5</v>
      </c>
      <c r="V29" s="28" t="s">
        <v>703</v>
      </c>
    </row>
    <row r="30" spans="1:27" ht="44.4" customHeight="1" x14ac:dyDescent="0.3">
      <c r="A30" s="496"/>
      <c r="B30" s="636"/>
      <c r="C30" s="633"/>
      <c r="D30" s="637"/>
      <c r="E30" s="638"/>
      <c r="F30" s="639"/>
      <c r="G30" s="20">
        <v>1</v>
      </c>
      <c r="H30" s="27" t="s">
        <v>671</v>
      </c>
      <c r="I30" s="22">
        <f t="shared" si="1"/>
        <v>7563.0252100840344</v>
      </c>
      <c r="J30" s="23">
        <f t="shared" si="2"/>
        <v>18.999999999999989</v>
      </c>
      <c r="K30" s="159">
        <v>9000</v>
      </c>
      <c r="L30" s="5">
        <f t="shared" si="3"/>
        <v>9000</v>
      </c>
      <c r="M30" s="542"/>
      <c r="N30" s="542"/>
      <c r="O30" s="542"/>
      <c r="P30" s="25">
        <f t="shared" si="0"/>
        <v>9000</v>
      </c>
      <c r="Q30" s="544"/>
      <c r="R30" s="542"/>
      <c r="S30" s="545"/>
      <c r="T30" s="625"/>
      <c r="U30" s="540"/>
      <c r="V30" s="28"/>
    </row>
    <row r="31" spans="1:27" ht="57.6" x14ac:dyDescent="0.3">
      <c r="A31" s="496">
        <v>14</v>
      </c>
      <c r="B31" s="636" t="s">
        <v>686</v>
      </c>
      <c r="C31" s="633" t="s">
        <v>678</v>
      </c>
      <c r="D31" s="637" t="s">
        <v>704</v>
      </c>
      <c r="E31" s="638" t="s">
        <v>683</v>
      </c>
      <c r="F31" s="639" t="s">
        <v>702</v>
      </c>
      <c r="G31" s="20">
        <v>1</v>
      </c>
      <c r="H31" s="21" t="s">
        <v>667</v>
      </c>
      <c r="I31" s="22">
        <f t="shared" si="1"/>
        <v>15400.840336134455</v>
      </c>
      <c r="J31" s="23">
        <f t="shared" si="2"/>
        <v>18.999999999999989</v>
      </c>
      <c r="K31" s="159">
        <v>18327</v>
      </c>
      <c r="L31" s="5">
        <f t="shared" si="3"/>
        <v>18327</v>
      </c>
      <c r="M31" s="542">
        <f t="shared" ref="M31" si="13">IFERROR(AVERAGE(L31:L32),"")</f>
        <v>13663.5</v>
      </c>
      <c r="N31" s="542">
        <f>IFERROR(HARMEAN(L31:L32),"")</f>
        <v>12071.797123723789</v>
      </c>
      <c r="O31" s="542">
        <f>IFERROR(MEDIAN(L31:L32),"")</f>
        <v>13663.5</v>
      </c>
      <c r="P31" s="25">
        <f t="shared" si="0"/>
        <v>18327</v>
      </c>
      <c r="Q31" s="544">
        <f>IFERROR(SUM(P31:P32)/COUNTA(K31:K32),"")</f>
        <v>13663.5</v>
      </c>
      <c r="R31" s="542">
        <f>IFERROR(_xlfn.STDEV.S(L31:L32),"")</f>
        <v>6595.1849481269292</v>
      </c>
      <c r="S31" s="545">
        <f>IFERROR(R31/M31,"")</f>
        <v>0.4826863503587609</v>
      </c>
      <c r="T31" s="625" t="s">
        <v>658</v>
      </c>
      <c r="U31" s="540">
        <f>M31</f>
        <v>13663.5</v>
      </c>
      <c r="V31" s="28" t="s">
        <v>705</v>
      </c>
    </row>
    <row r="32" spans="1:27" ht="40.200000000000003" customHeight="1" x14ac:dyDescent="0.3">
      <c r="A32" s="496"/>
      <c r="B32" s="636"/>
      <c r="C32" s="633"/>
      <c r="D32" s="637"/>
      <c r="E32" s="638"/>
      <c r="F32" s="639"/>
      <c r="G32" s="20">
        <v>1</v>
      </c>
      <c r="H32" s="27" t="s">
        <v>671</v>
      </c>
      <c r="I32" s="22">
        <f t="shared" si="1"/>
        <v>7563.0252100840344</v>
      </c>
      <c r="J32" s="23">
        <f t="shared" si="2"/>
        <v>18.999999999999989</v>
      </c>
      <c r="K32" s="159">
        <v>9000</v>
      </c>
      <c r="L32" s="5">
        <f t="shared" si="3"/>
        <v>9000</v>
      </c>
      <c r="M32" s="542"/>
      <c r="N32" s="542"/>
      <c r="O32" s="542"/>
      <c r="P32" s="25">
        <f t="shared" si="0"/>
        <v>9000</v>
      </c>
      <c r="Q32" s="544"/>
      <c r="R32" s="542"/>
      <c r="S32" s="545"/>
      <c r="T32" s="625"/>
      <c r="U32" s="540"/>
      <c r="V32" s="28"/>
    </row>
    <row r="33" spans="1:22" ht="38.4" customHeight="1" x14ac:dyDescent="0.3">
      <c r="A33" s="496">
        <v>15</v>
      </c>
      <c r="B33" s="636" t="s">
        <v>686</v>
      </c>
      <c r="C33" s="633" t="s">
        <v>678</v>
      </c>
      <c r="D33" s="637" t="s">
        <v>706</v>
      </c>
      <c r="E33" s="638" t="s">
        <v>683</v>
      </c>
      <c r="F33" s="639" t="s">
        <v>707</v>
      </c>
      <c r="G33" s="20">
        <v>1</v>
      </c>
      <c r="H33" s="21" t="s">
        <v>667</v>
      </c>
      <c r="I33" s="22">
        <f t="shared" si="1"/>
        <v>15027.731092436976</v>
      </c>
      <c r="J33" s="23">
        <f t="shared" si="2"/>
        <v>18.999999999999993</v>
      </c>
      <c r="K33" s="159">
        <v>17883</v>
      </c>
      <c r="L33" s="5">
        <f t="shared" si="3"/>
        <v>17883</v>
      </c>
      <c r="M33" s="542">
        <f t="shared" ref="M33" si="14">IFERROR(AVERAGE(L33:L34),"")</f>
        <v>15941.5</v>
      </c>
      <c r="N33" s="542">
        <f>IFERROR(HARMEAN(L33:L34),"")</f>
        <v>15705.046576545494</v>
      </c>
      <c r="O33" s="542">
        <f>IFERROR(MEDIAN(L33:L34),"")</f>
        <v>15941.5</v>
      </c>
      <c r="P33" s="25">
        <f t="shared" si="0"/>
        <v>17883</v>
      </c>
      <c r="Q33" s="544">
        <f>IFERROR(SUM(P33:P34)/COUNTA(K33:K34),"")</f>
        <v>15941.5</v>
      </c>
      <c r="R33" s="542">
        <f>IFERROR(_xlfn.STDEV.S(L33:L34),"")</f>
        <v>2745.6956313473638</v>
      </c>
      <c r="S33" s="545">
        <f>IFERROR(R33/M33,"")</f>
        <v>0.17223571378774669</v>
      </c>
      <c r="T33" s="625" t="s">
        <v>658</v>
      </c>
      <c r="U33" s="540">
        <f>M33</f>
        <v>15941.5</v>
      </c>
      <c r="V33" s="28" t="s">
        <v>708</v>
      </c>
    </row>
    <row r="34" spans="1:22" ht="45.6" customHeight="1" x14ac:dyDescent="0.3">
      <c r="A34" s="496"/>
      <c r="B34" s="636"/>
      <c r="C34" s="633"/>
      <c r="D34" s="637"/>
      <c r="E34" s="638"/>
      <c r="F34" s="639"/>
      <c r="G34" s="20">
        <v>1</v>
      </c>
      <c r="H34" s="27" t="s">
        <v>671</v>
      </c>
      <c r="I34" s="22">
        <f t="shared" si="1"/>
        <v>11764.705882352942</v>
      </c>
      <c r="J34" s="23">
        <f t="shared" si="2"/>
        <v>18.999999999999989</v>
      </c>
      <c r="K34" s="159">
        <v>14000</v>
      </c>
      <c r="L34" s="5">
        <f t="shared" si="3"/>
        <v>14000</v>
      </c>
      <c r="M34" s="542"/>
      <c r="N34" s="542"/>
      <c r="O34" s="542"/>
      <c r="P34" s="25">
        <f t="shared" si="0"/>
        <v>14000</v>
      </c>
      <c r="Q34" s="544"/>
      <c r="R34" s="542"/>
      <c r="S34" s="545"/>
      <c r="T34" s="625"/>
      <c r="U34" s="540"/>
      <c r="V34" s="28"/>
    </row>
    <row r="35" spans="1:22" ht="57.6" x14ac:dyDescent="0.3">
      <c r="A35" s="496">
        <v>16</v>
      </c>
      <c r="B35" s="636" t="s">
        <v>686</v>
      </c>
      <c r="C35" s="633" t="s">
        <v>678</v>
      </c>
      <c r="D35" s="637" t="s">
        <v>709</v>
      </c>
      <c r="E35" s="638" t="s">
        <v>683</v>
      </c>
      <c r="F35" s="639" t="s">
        <v>710</v>
      </c>
      <c r="G35" s="20">
        <v>1</v>
      </c>
      <c r="H35" s="21" t="s">
        <v>667</v>
      </c>
      <c r="I35" s="22">
        <f t="shared" si="1"/>
        <v>15400.840336134455</v>
      </c>
      <c r="J35" s="23">
        <f t="shared" si="2"/>
        <v>18.999999999999989</v>
      </c>
      <c r="K35" s="159">
        <v>18327</v>
      </c>
      <c r="L35" s="5">
        <f t="shared" si="3"/>
        <v>18327</v>
      </c>
      <c r="M35" s="542">
        <f t="shared" ref="M35" si="15">IFERROR(AVERAGE(L35:L36),"")</f>
        <v>16163.5</v>
      </c>
      <c r="N35" s="542">
        <f>IFERROR(HARMEAN(L35:L36),"")</f>
        <v>15873.913446963837</v>
      </c>
      <c r="O35" s="542">
        <f>IFERROR(MEDIAN(L35:L36),"")</f>
        <v>16163.5</v>
      </c>
      <c r="P35" s="25">
        <f t="shared" si="0"/>
        <v>18327</v>
      </c>
      <c r="Q35" s="544">
        <f>IFERROR(SUM(P35:P36)/COUNTA(K35:K36),"")</f>
        <v>16163.5</v>
      </c>
      <c r="R35" s="542">
        <f>IFERROR(_xlfn.STDEV.S(L35:L36),"")</f>
        <v>3059.6510421941912</v>
      </c>
      <c r="S35" s="545">
        <f>IFERROR(R35/M35,"")</f>
        <v>0.18929384367211255</v>
      </c>
      <c r="T35" s="625" t="s">
        <v>658</v>
      </c>
      <c r="U35" s="540">
        <f>M35</f>
        <v>16163.5</v>
      </c>
      <c r="V35" s="28" t="s">
        <v>711</v>
      </c>
    </row>
    <row r="36" spans="1:22" ht="50.4" customHeight="1" x14ac:dyDescent="0.3">
      <c r="A36" s="496"/>
      <c r="B36" s="636"/>
      <c r="C36" s="633"/>
      <c r="D36" s="637"/>
      <c r="E36" s="638"/>
      <c r="F36" s="639"/>
      <c r="G36" s="20">
        <v>1</v>
      </c>
      <c r="H36" s="27" t="s">
        <v>671</v>
      </c>
      <c r="I36" s="22">
        <f t="shared" si="1"/>
        <v>11764.705882352942</v>
      </c>
      <c r="J36" s="23">
        <f t="shared" si="2"/>
        <v>18.999999999999989</v>
      </c>
      <c r="K36" s="159">
        <v>14000</v>
      </c>
      <c r="L36" s="5">
        <f t="shared" si="3"/>
        <v>14000</v>
      </c>
      <c r="M36" s="542"/>
      <c r="N36" s="542"/>
      <c r="O36" s="542"/>
      <c r="P36" s="25">
        <f t="shared" si="0"/>
        <v>14000</v>
      </c>
      <c r="Q36" s="544"/>
      <c r="R36" s="542"/>
      <c r="S36" s="545"/>
      <c r="T36" s="625"/>
      <c r="U36" s="540"/>
      <c r="V36" s="28"/>
    </row>
    <row r="37" spans="1:22" ht="57.6" x14ac:dyDescent="0.3">
      <c r="A37" s="496">
        <v>17</v>
      </c>
      <c r="B37" s="636" t="s">
        <v>686</v>
      </c>
      <c r="C37" s="633" t="s">
        <v>678</v>
      </c>
      <c r="D37" s="637" t="s">
        <v>712</v>
      </c>
      <c r="E37" s="638" t="s">
        <v>683</v>
      </c>
      <c r="F37" s="639" t="s">
        <v>713</v>
      </c>
      <c r="G37" s="20">
        <v>1</v>
      </c>
      <c r="H37" s="21" t="s">
        <v>667</v>
      </c>
      <c r="I37" s="22">
        <f t="shared" si="1"/>
        <v>15130.252100840336</v>
      </c>
      <c r="J37" s="23">
        <f t="shared" si="2"/>
        <v>18.999999999999996</v>
      </c>
      <c r="K37" s="159">
        <v>18005</v>
      </c>
      <c r="L37" s="5">
        <f t="shared" si="3"/>
        <v>18005</v>
      </c>
      <c r="M37" s="542">
        <f t="shared" ref="M37" si="16">IFERROR(AVERAGE(L37:L38),"")</f>
        <v>27502.5</v>
      </c>
      <c r="N37" s="542">
        <f>IFERROR(HARMEAN(L37:L38),"")</f>
        <v>24222.70702663394</v>
      </c>
      <c r="O37" s="542">
        <f>IFERROR(MEDIAN(L37:L38),"")</f>
        <v>27502.5</v>
      </c>
      <c r="P37" s="25">
        <f t="shared" si="0"/>
        <v>18005</v>
      </c>
      <c r="Q37" s="544">
        <f>IFERROR(SUM(P37:P38)/COUNTA(K37:K38),"")</f>
        <v>27502.5</v>
      </c>
      <c r="R37" s="542">
        <f>IFERROR(_xlfn.STDEV.S(L37:L38),"")</f>
        <v>13431.49330863847</v>
      </c>
      <c r="S37" s="545">
        <f>IFERROR(R37/M37,"")</f>
        <v>0.48837354090131696</v>
      </c>
      <c r="T37" s="625" t="s">
        <v>658</v>
      </c>
      <c r="U37" s="540">
        <f>M37</f>
        <v>27502.5</v>
      </c>
      <c r="V37" s="28" t="s">
        <v>714</v>
      </c>
    </row>
    <row r="38" spans="1:22" ht="28.8" x14ac:dyDescent="0.3">
      <c r="A38" s="496"/>
      <c r="B38" s="636"/>
      <c r="C38" s="633"/>
      <c r="D38" s="637"/>
      <c r="E38" s="638"/>
      <c r="F38" s="639"/>
      <c r="G38" s="20">
        <v>1</v>
      </c>
      <c r="H38" s="27" t="s">
        <v>671</v>
      </c>
      <c r="I38" s="22">
        <f t="shared" si="1"/>
        <v>31092.436974789918</v>
      </c>
      <c r="J38" s="23">
        <f t="shared" si="2"/>
        <v>18.999999999999993</v>
      </c>
      <c r="K38" s="159">
        <v>37000</v>
      </c>
      <c r="L38" s="5">
        <f t="shared" si="3"/>
        <v>37000</v>
      </c>
      <c r="M38" s="542"/>
      <c r="N38" s="542"/>
      <c r="O38" s="542"/>
      <c r="P38" s="25">
        <f t="shared" si="0"/>
        <v>37000</v>
      </c>
      <c r="Q38" s="544"/>
      <c r="R38" s="542"/>
      <c r="S38" s="545"/>
      <c r="T38" s="625"/>
      <c r="U38" s="540"/>
      <c r="V38" s="28"/>
    </row>
    <row r="39" spans="1:22" ht="63" customHeight="1" x14ac:dyDescent="0.3">
      <c r="A39" s="496">
        <v>18</v>
      </c>
      <c r="B39" s="631">
        <v>10170000</v>
      </c>
      <c r="C39" s="633" t="s">
        <v>653</v>
      </c>
      <c r="D39" s="628" t="s">
        <v>715</v>
      </c>
      <c r="E39" s="557" t="s">
        <v>655</v>
      </c>
      <c r="F39" s="630" t="s">
        <v>716</v>
      </c>
      <c r="G39" s="20">
        <v>1</v>
      </c>
      <c r="H39" s="21" t="s">
        <v>717</v>
      </c>
      <c r="I39" s="22">
        <f t="shared" si="1"/>
        <v>72105.882352941175</v>
      </c>
      <c r="J39" s="23">
        <f t="shared" si="2"/>
        <v>19.000000000000004</v>
      </c>
      <c r="K39" s="159">
        <v>85806</v>
      </c>
      <c r="L39" s="5">
        <f t="shared" si="3"/>
        <v>85806</v>
      </c>
      <c r="M39" s="542">
        <f t="shared" ref="M39" si="17">IFERROR(AVERAGE(L39:L40),"")</f>
        <v>102903</v>
      </c>
      <c r="N39" s="542">
        <f t="shared" ref="N39" si="18">IFERROR(HARMEAN(L39:L40),"")</f>
        <v>100062.38885163698</v>
      </c>
      <c r="O39" s="542">
        <f t="shared" ref="O39" si="19">IFERROR(MEDIAN(L39:L40),"")</f>
        <v>102903</v>
      </c>
      <c r="P39" s="25">
        <f t="shared" si="0"/>
        <v>85806</v>
      </c>
      <c r="Q39" s="544">
        <f t="shared" ref="Q39" si="20">IFERROR(SUM(P39:P40)/COUNTA(K39:K40),"")</f>
        <v>102903</v>
      </c>
      <c r="R39" s="542">
        <f t="shared" ref="R39" si="21">IFERROR(_xlfn.STDEV.S(L39:L40),"")</f>
        <v>24178.809275892807</v>
      </c>
      <c r="S39" s="545">
        <f t="shared" ref="S39" si="22">IFERROR(R39/M39,"")</f>
        <v>0.23496700072780002</v>
      </c>
      <c r="T39" s="625" t="s">
        <v>658</v>
      </c>
      <c r="U39" s="540">
        <f>M39</f>
        <v>102903</v>
      </c>
      <c r="V39" s="28" t="s">
        <v>718</v>
      </c>
    </row>
    <row r="40" spans="1:22" ht="73.5" customHeight="1" x14ac:dyDescent="0.3">
      <c r="A40" s="496"/>
      <c r="B40" s="632"/>
      <c r="C40" s="633"/>
      <c r="D40" s="629"/>
      <c r="E40" s="557"/>
      <c r="F40" s="630"/>
      <c r="G40" s="20">
        <v>1</v>
      </c>
      <c r="H40" s="27" t="s">
        <v>671</v>
      </c>
      <c r="I40" s="22">
        <f t="shared" si="1"/>
        <v>100840.33613445378</v>
      </c>
      <c r="J40" s="23">
        <f t="shared" si="2"/>
        <v>18.999999999999996</v>
      </c>
      <c r="K40" s="159">
        <v>120000</v>
      </c>
      <c r="L40" s="5">
        <f t="shared" si="3"/>
        <v>120000</v>
      </c>
      <c r="M40" s="542"/>
      <c r="N40" s="542"/>
      <c r="O40" s="542"/>
      <c r="P40" s="25">
        <f t="shared" si="0"/>
        <v>120000</v>
      </c>
      <c r="Q40" s="544"/>
      <c r="R40" s="542"/>
      <c r="S40" s="545"/>
      <c r="T40" s="625"/>
      <c r="U40" s="540"/>
      <c r="V40" s="28"/>
    </row>
    <row r="41" spans="1:22" ht="69" customHeight="1" x14ac:dyDescent="0.3">
      <c r="A41" s="496">
        <v>19</v>
      </c>
      <c r="B41" s="645">
        <v>21102302</v>
      </c>
      <c r="C41" s="642" t="s">
        <v>719</v>
      </c>
      <c r="D41" s="642" t="s">
        <v>720</v>
      </c>
      <c r="E41" s="557" t="s">
        <v>290</v>
      </c>
      <c r="F41" s="630" t="s">
        <v>721</v>
      </c>
      <c r="G41" s="20">
        <v>1</v>
      </c>
      <c r="H41" s="21" t="s">
        <v>657</v>
      </c>
      <c r="I41" s="22">
        <f t="shared" si="1"/>
        <v>113253.10924369749</v>
      </c>
      <c r="J41" s="23">
        <f t="shared" si="2"/>
        <v>19.000000000000004</v>
      </c>
      <c r="K41" s="159">
        <v>134771.20000000001</v>
      </c>
      <c r="L41" s="5">
        <f t="shared" si="3"/>
        <v>134771.20000000001</v>
      </c>
      <c r="M41" s="542">
        <f t="shared" ref="M41" si="23">IFERROR(AVERAGE(L41:L42),"")</f>
        <v>136062.6</v>
      </c>
      <c r="N41" s="542">
        <f t="shared" ref="N41" si="24">IFERROR(HARMEAN(L41:L42),"")</f>
        <v>136050.34303915992</v>
      </c>
      <c r="O41" s="542">
        <f t="shared" ref="O41" si="25">IFERROR(MEDIAN(L41:L42),"")</f>
        <v>136062.6</v>
      </c>
      <c r="P41" s="25">
        <f t="shared" si="0"/>
        <v>134771.20000000001</v>
      </c>
      <c r="Q41" s="544">
        <f t="shared" ref="Q41" si="26">IFERROR(SUM(P41:P42)/COUNTA(K41:K42),"")</f>
        <v>136062.6</v>
      </c>
      <c r="R41" s="542">
        <f t="shared" ref="R41" si="27">IFERROR(_xlfn.STDEV.S(L41:L42),"")</f>
        <v>1826.3153944486069</v>
      </c>
      <c r="S41" s="545">
        <f t="shared" ref="S41" si="28">IFERROR(R41/M41,"")</f>
        <v>1.3422611316031053E-2</v>
      </c>
      <c r="T41" s="625" t="s">
        <v>658</v>
      </c>
      <c r="U41" s="540">
        <f>M41</f>
        <v>136062.6</v>
      </c>
      <c r="V41" s="26" t="s">
        <v>659</v>
      </c>
    </row>
    <row r="42" spans="1:22" ht="129.6" x14ac:dyDescent="0.3">
      <c r="A42" s="496"/>
      <c r="B42" s="646"/>
      <c r="C42" s="419"/>
      <c r="D42" s="419"/>
      <c r="E42" s="391"/>
      <c r="F42" s="643"/>
      <c r="G42" s="20">
        <v>1</v>
      </c>
      <c r="H42" s="30" t="s">
        <v>722</v>
      </c>
      <c r="I42" s="22">
        <f t="shared" si="1"/>
        <v>115423.52941176471</v>
      </c>
      <c r="J42" s="23">
        <f t="shared" si="2"/>
        <v>18.999999999999993</v>
      </c>
      <c r="K42" s="159">
        <v>137354</v>
      </c>
      <c r="L42" s="31">
        <f t="shared" si="3"/>
        <v>137354</v>
      </c>
      <c r="M42" s="542"/>
      <c r="N42" s="542"/>
      <c r="O42" s="542"/>
      <c r="P42" s="25">
        <f t="shared" si="0"/>
        <v>137354</v>
      </c>
      <c r="Q42" s="544"/>
      <c r="R42" s="542"/>
      <c r="S42" s="545"/>
      <c r="T42" s="625"/>
      <c r="U42" s="540"/>
      <c r="V42" s="28" t="s">
        <v>723</v>
      </c>
    </row>
    <row r="43" spans="1:22" ht="57.6" x14ac:dyDescent="0.3">
      <c r="A43" s="496">
        <v>20</v>
      </c>
      <c r="B43" s="642">
        <v>24141704</v>
      </c>
      <c r="C43" s="644" t="s">
        <v>639</v>
      </c>
      <c r="D43" s="642" t="s">
        <v>724</v>
      </c>
      <c r="E43" s="557" t="s">
        <v>725</v>
      </c>
      <c r="F43" s="630" t="s">
        <v>721</v>
      </c>
      <c r="G43" s="20">
        <v>1</v>
      </c>
      <c r="H43" s="21" t="s">
        <v>657</v>
      </c>
      <c r="I43" s="32">
        <f t="shared" si="1"/>
        <v>93678.017142857148</v>
      </c>
      <c r="J43" s="33">
        <f t="shared" si="2"/>
        <v>18.999999999999993</v>
      </c>
      <c r="K43" s="161">
        <v>111476.8404</v>
      </c>
      <c r="L43" s="5">
        <f t="shared" si="3"/>
        <v>111476.8404</v>
      </c>
      <c r="M43" s="542">
        <f t="shared" ref="M43" si="29">IFERROR(AVERAGE(L43:L44),"")</f>
        <v>115318.92019999999</v>
      </c>
      <c r="N43" s="542">
        <f t="shared" ref="N43" si="30">IFERROR(HARMEAN(L43:L44),"")</f>
        <v>115190.913649436</v>
      </c>
      <c r="O43" s="542">
        <f t="shared" ref="O43" si="31">IFERROR(MEDIAN(L43:L44),"")</f>
        <v>115318.92019999999</v>
      </c>
      <c r="P43" s="25">
        <f t="shared" si="0"/>
        <v>111476.8404</v>
      </c>
      <c r="Q43" s="544">
        <f t="shared" ref="Q43" si="32">IFERROR(SUM(P43:P44)/COUNTA(K43:K44),"")</f>
        <v>115318.92019999999</v>
      </c>
      <c r="R43" s="542">
        <f t="shared" ref="R43" si="33">IFERROR(_xlfn.STDEV.S(L43:L44),"")</f>
        <v>5433.5213608797085</v>
      </c>
      <c r="S43" s="545">
        <f t="shared" ref="S43" si="34">IFERROR(R43/M43,"")</f>
        <v>4.7117345110899753E-2</v>
      </c>
      <c r="T43" s="625" t="s">
        <v>658</v>
      </c>
      <c r="U43" s="540">
        <f>M43</f>
        <v>115318.92019999999</v>
      </c>
      <c r="V43" s="26" t="s">
        <v>659</v>
      </c>
    </row>
    <row r="44" spans="1:22" ht="100.8" x14ac:dyDescent="0.3">
      <c r="A44" s="496"/>
      <c r="B44" s="642"/>
      <c r="C44" s="644"/>
      <c r="D44" s="642"/>
      <c r="E44" s="557"/>
      <c r="F44" s="630"/>
      <c r="G44" s="20">
        <v>1</v>
      </c>
      <c r="H44" s="27" t="s">
        <v>722</v>
      </c>
      <c r="I44" s="32">
        <f t="shared" si="1"/>
        <v>100135.29411764706</v>
      </c>
      <c r="J44" s="33">
        <f t="shared" si="2"/>
        <v>18.999999999999993</v>
      </c>
      <c r="K44" s="161">
        <v>119161</v>
      </c>
      <c r="L44" s="5">
        <f t="shared" si="3"/>
        <v>119161</v>
      </c>
      <c r="M44" s="542"/>
      <c r="N44" s="542"/>
      <c r="O44" s="542"/>
      <c r="P44" s="25">
        <f t="shared" si="0"/>
        <v>119161</v>
      </c>
      <c r="Q44" s="544"/>
      <c r="R44" s="542"/>
      <c r="S44" s="545"/>
      <c r="T44" s="625"/>
      <c r="U44" s="540"/>
      <c r="V44" s="28" t="s">
        <v>726</v>
      </c>
    </row>
    <row r="45" spans="1:22" ht="46.5" customHeight="1" x14ac:dyDescent="0.3">
      <c r="A45" s="496">
        <v>21</v>
      </c>
      <c r="B45" s="649">
        <v>21100000</v>
      </c>
      <c r="C45" s="649" t="s">
        <v>637</v>
      </c>
      <c r="D45" s="652" t="s">
        <v>727</v>
      </c>
      <c r="E45" s="392" t="s">
        <v>728</v>
      </c>
      <c r="F45" s="654" t="s">
        <v>729</v>
      </c>
      <c r="G45" s="20">
        <v>1</v>
      </c>
      <c r="H45" s="34" t="s">
        <v>660</v>
      </c>
      <c r="I45" s="35">
        <f t="shared" si="1"/>
        <v>27666.386554621851</v>
      </c>
      <c r="J45" s="36">
        <f t="shared" si="2"/>
        <v>18.999999999999989</v>
      </c>
      <c r="K45" s="161">
        <v>32923</v>
      </c>
      <c r="L45" s="37">
        <f t="shared" si="3"/>
        <v>32923</v>
      </c>
      <c r="M45" s="542">
        <f t="shared" ref="M45" si="35">IFERROR(AVERAGE(L45:L46),"")</f>
        <v>28961.5</v>
      </c>
      <c r="N45" s="542">
        <f t="shared" ref="N45" si="36">IFERROR(HARMEAN(L45:L46),"")</f>
        <v>28419.626055280285</v>
      </c>
      <c r="O45" s="542">
        <f t="shared" ref="O45" si="37">IFERROR(MEDIAN(L45:L46),"")</f>
        <v>28961.5</v>
      </c>
      <c r="P45" s="25">
        <f t="shared" si="0"/>
        <v>32923</v>
      </c>
      <c r="Q45" s="544">
        <f t="shared" ref="Q45" si="38">IFERROR(SUM(P45:P46)/COUNTA(K45:K46),"")</f>
        <v>28961.5</v>
      </c>
      <c r="R45" s="542">
        <f t="shared" ref="R45" si="39">IFERROR(_xlfn.STDEV.S(L45:L46),"")</f>
        <v>5602.4070273410161</v>
      </c>
      <c r="S45" s="545">
        <f t="shared" ref="S45" si="40">IFERROR(R45/M45,"")</f>
        <v>0.19344326182487151</v>
      </c>
      <c r="T45" s="625" t="s">
        <v>658</v>
      </c>
      <c r="U45" s="540">
        <f>M45</f>
        <v>28961.5</v>
      </c>
      <c r="V45" s="38" t="s">
        <v>730</v>
      </c>
    </row>
    <row r="46" spans="1:22" ht="28.5" customHeight="1" x14ac:dyDescent="0.3">
      <c r="A46" s="496"/>
      <c r="B46" s="633"/>
      <c r="C46" s="633"/>
      <c r="D46" s="653"/>
      <c r="E46" s="557"/>
      <c r="F46" s="630"/>
      <c r="G46" s="20">
        <v>1</v>
      </c>
      <c r="H46" s="27" t="s">
        <v>671</v>
      </c>
      <c r="I46" s="32">
        <f t="shared" si="1"/>
        <v>21008.403361344539</v>
      </c>
      <c r="J46" s="33">
        <f t="shared" si="2"/>
        <v>18.999999999999993</v>
      </c>
      <c r="K46" s="162">
        <v>25000</v>
      </c>
      <c r="L46" s="5">
        <f t="shared" si="3"/>
        <v>25000</v>
      </c>
      <c r="M46" s="542"/>
      <c r="N46" s="542"/>
      <c r="O46" s="542"/>
      <c r="P46" s="25">
        <f t="shared" si="0"/>
        <v>25000</v>
      </c>
      <c r="Q46" s="544"/>
      <c r="R46" s="542"/>
      <c r="S46" s="545"/>
      <c r="T46" s="625"/>
      <c r="U46" s="540"/>
      <c r="V46" s="39"/>
    </row>
    <row r="47" spans="1:22" ht="44.25" customHeight="1" x14ac:dyDescent="0.3">
      <c r="A47" s="496">
        <v>22</v>
      </c>
      <c r="B47" s="647">
        <v>24141500</v>
      </c>
      <c r="C47" s="649" t="s">
        <v>731</v>
      </c>
      <c r="D47" s="642" t="s">
        <v>732</v>
      </c>
      <c r="E47" s="650" t="s">
        <v>733</v>
      </c>
      <c r="F47" s="651" t="s">
        <v>733</v>
      </c>
      <c r="G47" s="20">
        <v>1</v>
      </c>
      <c r="H47" s="40" t="s">
        <v>606</v>
      </c>
      <c r="I47" s="41">
        <f t="shared" si="1"/>
        <v>191265.5462184874</v>
      </c>
      <c r="J47" s="42">
        <f t="shared" si="2"/>
        <v>18.999999999999993</v>
      </c>
      <c r="K47" s="163">
        <v>227606</v>
      </c>
      <c r="L47" s="37">
        <f t="shared" si="3"/>
        <v>227606</v>
      </c>
      <c r="M47" s="542">
        <f t="shared" ref="M47" si="41">IFERROR(AVERAGE(L47:L48),"")</f>
        <v>218803</v>
      </c>
      <c r="N47" s="542">
        <f t="shared" ref="N47" si="42">IFERROR(HARMEAN(L47:L48),"")</f>
        <v>218448.83296846939</v>
      </c>
      <c r="O47" s="542">
        <f t="shared" ref="O47" si="43">IFERROR(MEDIAN(L47:L48),"")</f>
        <v>218803</v>
      </c>
      <c r="P47" s="25">
        <f t="shared" si="0"/>
        <v>227606</v>
      </c>
      <c r="Q47" s="544">
        <f t="shared" ref="Q47" si="44">IFERROR(SUM(P47:P48)/COUNTA(K47:K48),"")</f>
        <v>218803</v>
      </c>
      <c r="R47" s="542">
        <f t="shared" ref="R47" si="45">IFERROR(_xlfn.STDEV.S(L47:L48),"")</f>
        <v>12449.321989570355</v>
      </c>
      <c r="S47" s="545">
        <f t="shared" ref="S47" si="46">IFERROR(R47/M47,"")</f>
        <v>5.6897400810639501E-2</v>
      </c>
      <c r="T47" s="625" t="s">
        <v>658</v>
      </c>
      <c r="U47" s="540">
        <f>M47</f>
        <v>218803</v>
      </c>
      <c r="V47" s="44" t="s">
        <v>734</v>
      </c>
    </row>
    <row r="48" spans="1:22" ht="28.8" x14ac:dyDescent="0.3">
      <c r="A48" s="496"/>
      <c r="B48" s="648"/>
      <c r="C48" s="633"/>
      <c r="D48" s="642"/>
      <c r="E48" s="638"/>
      <c r="F48" s="639"/>
      <c r="G48" s="20">
        <v>1</v>
      </c>
      <c r="H48" s="27" t="s">
        <v>671</v>
      </c>
      <c r="I48" s="22">
        <f t="shared" si="1"/>
        <v>176470.58823529413</v>
      </c>
      <c r="J48" s="23">
        <f t="shared" si="2"/>
        <v>18.999999999999993</v>
      </c>
      <c r="K48" s="159">
        <v>210000</v>
      </c>
      <c r="L48" s="5">
        <f t="shared" si="3"/>
        <v>210000</v>
      </c>
      <c r="M48" s="542"/>
      <c r="N48" s="542"/>
      <c r="O48" s="542"/>
      <c r="P48" s="25">
        <f t="shared" si="0"/>
        <v>210000</v>
      </c>
      <c r="Q48" s="544"/>
      <c r="R48" s="542"/>
      <c r="S48" s="545"/>
      <c r="T48" s="625"/>
      <c r="U48" s="540"/>
      <c r="V48" s="28"/>
    </row>
    <row r="49" spans="1:22" ht="46.5" customHeight="1" x14ac:dyDescent="0.3">
      <c r="A49" s="496">
        <v>23</v>
      </c>
      <c r="B49" s="631">
        <v>30190000</v>
      </c>
      <c r="C49" s="656" t="s">
        <v>641</v>
      </c>
      <c r="D49" s="642" t="s">
        <v>735</v>
      </c>
      <c r="E49" s="657" t="s">
        <v>570</v>
      </c>
      <c r="F49" s="655" t="s">
        <v>570</v>
      </c>
      <c r="G49" s="557">
        <v>1</v>
      </c>
      <c r="H49" s="21" t="s">
        <v>736</v>
      </c>
      <c r="I49" s="22">
        <f t="shared" si="1"/>
        <v>181572.26890756303</v>
      </c>
      <c r="J49" s="23">
        <f t="shared" si="2"/>
        <v>18.999999999999993</v>
      </c>
      <c r="K49" s="159">
        <v>216071</v>
      </c>
      <c r="L49" s="5">
        <f>K49*G49</f>
        <v>216071</v>
      </c>
      <c r="M49" s="542">
        <f t="shared" ref="M49" si="47">IFERROR(AVERAGE(L49:L50),"")</f>
        <v>234264.5</v>
      </c>
      <c r="N49" s="542">
        <f t="shared" ref="N49" si="48">IFERROR(HARMEAN(L49:L50),"")</f>
        <v>232851.5524887467</v>
      </c>
      <c r="O49" s="542">
        <f t="shared" ref="O49" si="49">IFERROR(MEDIAN(L49:L50),"")</f>
        <v>234264.5</v>
      </c>
      <c r="P49" s="25">
        <f t="shared" si="0"/>
        <v>216071</v>
      </c>
      <c r="Q49" s="544">
        <f t="shared" ref="Q49" si="50">IFERROR(SUM(P49:P50)/COUNTA(K49:K50),"")</f>
        <v>234264.5</v>
      </c>
      <c r="R49" s="542">
        <f t="shared" ref="R49" si="51">IFERROR(_xlfn.STDEV.S(L49:L50),"")</f>
        <v>25729.494447034904</v>
      </c>
      <c r="S49" s="545">
        <f t="shared" ref="S49" si="52">IFERROR(R49/M49,"")</f>
        <v>0.10983095794298711</v>
      </c>
      <c r="T49" s="625" t="s">
        <v>658</v>
      </c>
      <c r="U49" s="540">
        <f>M49</f>
        <v>234264.5</v>
      </c>
      <c r="V49" s="28" t="s">
        <v>737</v>
      </c>
    </row>
    <row r="50" spans="1:22" ht="46.5" customHeight="1" x14ac:dyDescent="0.3">
      <c r="A50" s="496"/>
      <c r="B50" s="632"/>
      <c r="C50" s="656"/>
      <c r="D50" s="642"/>
      <c r="E50" s="657"/>
      <c r="F50" s="655"/>
      <c r="G50" s="557"/>
      <c r="H50" s="27" t="s">
        <v>660</v>
      </c>
      <c r="I50" s="22">
        <f t="shared" si="1"/>
        <v>212149.57983193279</v>
      </c>
      <c r="J50" s="23">
        <f t="shared" si="2"/>
        <v>18.999999999999993</v>
      </c>
      <c r="K50" s="159">
        <v>252458</v>
      </c>
      <c r="L50" s="5">
        <f>K50*G49</f>
        <v>252458</v>
      </c>
      <c r="M50" s="542"/>
      <c r="N50" s="542"/>
      <c r="O50" s="542"/>
      <c r="P50" s="25">
        <f t="shared" si="0"/>
        <v>252458</v>
      </c>
      <c r="Q50" s="544"/>
      <c r="R50" s="542"/>
      <c r="S50" s="545"/>
      <c r="T50" s="625"/>
      <c r="U50" s="540"/>
      <c r="V50" s="28" t="s">
        <v>738</v>
      </c>
    </row>
    <row r="51" spans="1:22" ht="59.25" customHeight="1" x14ac:dyDescent="0.3">
      <c r="A51" s="496">
        <v>24</v>
      </c>
      <c r="B51" s="631">
        <v>30190000</v>
      </c>
      <c r="C51" s="656" t="s">
        <v>641</v>
      </c>
      <c r="D51" s="642" t="s">
        <v>739</v>
      </c>
      <c r="E51" s="657" t="s">
        <v>570</v>
      </c>
      <c r="F51" s="655" t="s">
        <v>570</v>
      </c>
      <c r="G51" s="557">
        <v>1</v>
      </c>
      <c r="H51" s="21" t="s">
        <v>740</v>
      </c>
      <c r="I51" s="22">
        <f t="shared" si="1"/>
        <v>31845.378151260506</v>
      </c>
      <c r="J51" s="23">
        <f t="shared" si="2"/>
        <v>18.999999999999993</v>
      </c>
      <c r="K51" s="159">
        <v>37896</v>
      </c>
      <c r="L51" s="5">
        <f t="shared" ref="L51" si="53">K51*G51</f>
        <v>37896</v>
      </c>
      <c r="M51" s="542">
        <f t="shared" ref="M51" si="54">IFERROR(AVERAGE(L51:L52),"")</f>
        <v>33590.5</v>
      </c>
      <c r="N51" s="542">
        <f t="shared" ref="N51" si="55">IFERROR(HARMEAN(L51:L52),"")</f>
        <v>33038.637710066832</v>
      </c>
      <c r="O51" s="542">
        <f t="shared" ref="O51" si="56">IFERROR(MEDIAN(L51:L52),"")</f>
        <v>33590.5</v>
      </c>
      <c r="P51" s="25">
        <f t="shared" si="0"/>
        <v>37896</v>
      </c>
      <c r="Q51" s="544">
        <f t="shared" ref="Q51" si="57">IFERROR(SUM(P51:P52)/COUNTA(K51:K52),"")</f>
        <v>33590.5</v>
      </c>
      <c r="R51" s="542">
        <f t="shared" ref="R51" si="58">IFERROR(_xlfn.STDEV.S(L51:L52),"")</f>
        <v>6088.8964927973611</v>
      </c>
      <c r="S51" s="545">
        <f t="shared" ref="S51" si="59">IFERROR(R51/M51,"")</f>
        <v>0.18126840900842087</v>
      </c>
      <c r="T51" s="625" t="s">
        <v>658</v>
      </c>
      <c r="U51" s="540">
        <f>M51</f>
        <v>33590.5</v>
      </c>
      <c r="V51" s="28" t="s">
        <v>741</v>
      </c>
    </row>
    <row r="52" spans="1:22" ht="46.5" customHeight="1" x14ac:dyDescent="0.3">
      <c r="A52" s="496"/>
      <c r="B52" s="632"/>
      <c r="C52" s="656"/>
      <c r="D52" s="642"/>
      <c r="E52" s="657"/>
      <c r="F52" s="655"/>
      <c r="G52" s="557"/>
      <c r="H52" s="27" t="s">
        <v>742</v>
      </c>
      <c r="I52" s="22">
        <f t="shared" si="1"/>
        <v>24609.243697478993</v>
      </c>
      <c r="J52" s="23">
        <f t="shared" si="2"/>
        <v>18.999999999999993</v>
      </c>
      <c r="K52" s="159">
        <v>29285</v>
      </c>
      <c r="L52" s="5">
        <f t="shared" ref="L52" si="60">K52*G51</f>
        <v>29285</v>
      </c>
      <c r="M52" s="542"/>
      <c r="N52" s="542"/>
      <c r="O52" s="542"/>
      <c r="P52" s="25">
        <f t="shared" si="0"/>
        <v>29285</v>
      </c>
      <c r="Q52" s="544"/>
      <c r="R52" s="542"/>
      <c r="S52" s="545"/>
      <c r="T52" s="625"/>
      <c r="U52" s="540"/>
      <c r="V52" s="28" t="s">
        <v>743</v>
      </c>
    </row>
    <row r="53" spans="1:22" ht="29.25" customHeight="1" x14ac:dyDescent="0.3">
      <c r="A53" s="496">
        <v>25</v>
      </c>
      <c r="B53" s="631">
        <v>10170000</v>
      </c>
      <c r="C53" s="633" t="s">
        <v>653</v>
      </c>
      <c r="D53" s="419" t="s">
        <v>744</v>
      </c>
      <c r="E53" s="391" t="s">
        <v>745</v>
      </c>
      <c r="F53" s="659" t="s">
        <v>745</v>
      </c>
      <c r="G53" s="557">
        <v>1</v>
      </c>
      <c r="H53" s="21" t="s">
        <v>667</v>
      </c>
      <c r="I53" s="22">
        <f t="shared" si="1"/>
        <v>16964.705882352941</v>
      </c>
      <c r="J53" s="23">
        <f t="shared" si="2"/>
        <v>19.000000000000007</v>
      </c>
      <c r="K53" s="159">
        <v>20188</v>
      </c>
      <c r="L53" s="5">
        <f t="shared" ref="L53" si="61">K53*G53</f>
        <v>20188</v>
      </c>
      <c r="M53" s="542">
        <f t="shared" ref="M53" si="62">IFERROR(AVERAGE(L53:L54),"")</f>
        <v>16094</v>
      </c>
      <c r="N53" s="542">
        <f t="shared" ref="N53" si="63">IFERROR(HARMEAN(L53:L54),"")</f>
        <v>15052.566173729339</v>
      </c>
      <c r="O53" s="542">
        <f t="shared" ref="O53" si="64">IFERROR(MEDIAN(L53:L54),"")</f>
        <v>16094</v>
      </c>
      <c r="P53" s="25">
        <f t="shared" si="0"/>
        <v>20188</v>
      </c>
      <c r="Q53" s="544">
        <f t="shared" ref="Q53" si="65">IFERROR(SUM(P53:P54)/COUNTA(K53:K54),"")</f>
        <v>16094</v>
      </c>
      <c r="R53" s="542">
        <f t="shared" ref="R53" si="66">IFERROR(_xlfn.STDEV.S(L53:L54),"")</f>
        <v>5789.790324355451</v>
      </c>
      <c r="S53" s="545">
        <f t="shared" ref="S53" si="67">IFERROR(R53/M53,"")</f>
        <v>0.35974837357744816</v>
      </c>
      <c r="T53" s="625" t="s">
        <v>658</v>
      </c>
      <c r="U53" s="540">
        <f>M53</f>
        <v>16094</v>
      </c>
      <c r="V53" s="28" t="s">
        <v>746</v>
      </c>
    </row>
    <row r="54" spans="1:22" ht="27.75" customHeight="1" x14ac:dyDescent="0.3">
      <c r="A54" s="496"/>
      <c r="B54" s="632"/>
      <c r="C54" s="633"/>
      <c r="D54" s="658"/>
      <c r="E54" s="392"/>
      <c r="F54" s="660"/>
      <c r="G54" s="557"/>
      <c r="H54" s="27" t="s">
        <v>671</v>
      </c>
      <c r="I54" s="22">
        <f t="shared" si="1"/>
        <v>10084.033613445379</v>
      </c>
      <c r="J54" s="23">
        <f t="shared" si="2"/>
        <v>18.999999999999989</v>
      </c>
      <c r="K54" s="159">
        <v>12000</v>
      </c>
      <c r="L54" s="5">
        <f t="shared" ref="L54" si="68">K54*G53</f>
        <v>12000</v>
      </c>
      <c r="M54" s="542"/>
      <c r="N54" s="542"/>
      <c r="O54" s="542"/>
      <c r="P54" s="25">
        <f t="shared" si="0"/>
        <v>12000</v>
      </c>
      <c r="Q54" s="544"/>
      <c r="R54" s="542"/>
      <c r="S54" s="545"/>
      <c r="T54" s="625"/>
      <c r="U54" s="540"/>
      <c r="V54" s="29"/>
    </row>
    <row r="55" spans="1:22" ht="28.5" customHeight="1" x14ac:dyDescent="0.3">
      <c r="A55" s="496">
        <v>26</v>
      </c>
      <c r="B55" s="631">
        <v>30190000</v>
      </c>
      <c r="C55" s="656" t="s">
        <v>641</v>
      </c>
      <c r="D55" s="498" t="s">
        <v>747</v>
      </c>
      <c r="E55" s="557" t="s">
        <v>570</v>
      </c>
      <c r="F55" s="630" t="s">
        <v>570</v>
      </c>
      <c r="G55" s="557">
        <v>1</v>
      </c>
      <c r="H55" s="21" t="s">
        <v>740</v>
      </c>
      <c r="I55" s="22">
        <f t="shared" si="1"/>
        <v>34903.361344537814</v>
      </c>
      <c r="J55" s="23">
        <f t="shared" si="2"/>
        <v>19.000000000000004</v>
      </c>
      <c r="K55" s="159">
        <v>41535</v>
      </c>
      <c r="L55" s="5">
        <f t="shared" ref="L55" si="69">K55*G55</f>
        <v>41535</v>
      </c>
      <c r="M55" s="542">
        <f t="shared" ref="M55" si="70">IFERROR(AVERAGE(L55:L56),"")</f>
        <v>39767.5</v>
      </c>
      <c r="N55" s="542">
        <f t="shared" ref="N55" si="71">IFERROR(HARMEAN(L55:L56),"")</f>
        <v>39688.941975231028</v>
      </c>
      <c r="O55" s="542">
        <f t="shared" ref="O55" si="72">IFERROR(MEDIAN(L55:L56),"")</f>
        <v>39767.5</v>
      </c>
      <c r="P55" s="25">
        <f t="shared" si="0"/>
        <v>41535</v>
      </c>
      <c r="Q55" s="544">
        <f t="shared" ref="Q55" si="73">IFERROR(SUM(P55:P56)/COUNTA(K55:K56),"")</f>
        <v>39767.5</v>
      </c>
      <c r="R55" s="542">
        <f t="shared" ref="R55" si="74">IFERROR(_xlfn.STDEV.S(L55:L56),"")</f>
        <v>2499.6224714944456</v>
      </c>
      <c r="S55" s="545">
        <f t="shared" ref="S55" si="75">IFERROR(R55/M55,"")</f>
        <v>6.2855911774550716E-2</v>
      </c>
      <c r="T55" s="625" t="s">
        <v>658</v>
      </c>
      <c r="U55" s="540">
        <f>M55</f>
        <v>39767.5</v>
      </c>
      <c r="V55" s="28" t="s">
        <v>748</v>
      </c>
    </row>
    <row r="56" spans="1:22" ht="28.8" x14ac:dyDescent="0.3">
      <c r="A56" s="496"/>
      <c r="B56" s="632"/>
      <c r="C56" s="656"/>
      <c r="D56" s="538"/>
      <c r="E56" s="557"/>
      <c r="F56" s="630"/>
      <c r="G56" s="557"/>
      <c r="H56" s="27" t="s">
        <v>671</v>
      </c>
      <c r="I56" s="22">
        <f t="shared" si="1"/>
        <v>31932.773109243699</v>
      </c>
      <c r="J56" s="23">
        <f t="shared" si="2"/>
        <v>18.999999999999993</v>
      </c>
      <c r="K56" s="159">
        <v>38000</v>
      </c>
      <c r="L56" s="5">
        <f t="shared" ref="L56" si="76">K56*G55</f>
        <v>38000</v>
      </c>
      <c r="M56" s="542"/>
      <c r="N56" s="542"/>
      <c r="O56" s="542"/>
      <c r="P56" s="25">
        <f t="shared" si="0"/>
        <v>38000</v>
      </c>
      <c r="Q56" s="544"/>
      <c r="R56" s="542"/>
      <c r="S56" s="545"/>
      <c r="T56" s="625"/>
      <c r="U56" s="540"/>
      <c r="V56" s="29"/>
    </row>
    <row r="57" spans="1:22" ht="32.25" customHeight="1" x14ac:dyDescent="0.3">
      <c r="A57" s="496">
        <v>27</v>
      </c>
      <c r="B57" s="631">
        <v>10170000</v>
      </c>
      <c r="C57" s="633" t="s">
        <v>653</v>
      </c>
      <c r="D57" s="642" t="s">
        <v>749</v>
      </c>
      <c r="E57" s="642" t="s">
        <v>750</v>
      </c>
      <c r="F57" s="630" t="s">
        <v>750</v>
      </c>
      <c r="G57" s="557">
        <v>1</v>
      </c>
      <c r="H57" s="21" t="s">
        <v>751</v>
      </c>
      <c r="I57" s="22">
        <f t="shared" si="1"/>
        <v>63442.016806722691</v>
      </c>
      <c r="J57" s="23">
        <f t="shared" si="2"/>
        <v>18.999999999999993</v>
      </c>
      <c r="K57" s="159">
        <v>75496</v>
      </c>
      <c r="L57" s="5">
        <f t="shared" ref="L57" si="77">K57*G57</f>
        <v>75496</v>
      </c>
      <c r="M57" s="542">
        <f>IFERROR(AVERAGE(L57:L58),"")</f>
        <v>51748</v>
      </c>
      <c r="N57" s="542">
        <f t="shared" ref="N57" si="78">IFERROR(HARMEAN(L57:L58),"")</f>
        <v>40849.656025353637</v>
      </c>
      <c r="O57" s="542">
        <f t="shared" ref="O57" si="79">IFERROR(MEDIAN(L57:L58),"")</f>
        <v>51748</v>
      </c>
      <c r="P57" s="25">
        <f t="shared" si="0"/>
        <v>75496</v>
      </c>
      <c r="Q57" s="544">
        <f t="shared" ref="Q57" si="80">IFERROR(SUM(P57:P58)/COUNTA(K57:K58),"")</f>
        <v>51748</v>
      </c>
      <c r="R57" s="542">
        <f t="shared" ref="R57" si="81">IFERROR(_xlfn.STDEV.S(L57:L58),"")</f>
        <v>33584.743679236264</v>
      </c>
      <c r="S57" s="545">
        <f t="shared" ref="S57" si="82">IFERROR(R57/M57,"")</f>
        <v>0.64900563653158116</v>
      </c>
      <c r="T57" s="625" t="s">
        <v>752</v>
      </c>
      <c r="U57" s="540">
        <f>L58</f>
        <v>28000</v>
      </c>
      <c r="V57" s="28" t="s">
        <v>753</v>
      </c>
    </row>
    <row r="58" spans="1:22" ht="30.75" customHeight="1" x14ac:dyDescent="0.3">
      <c r="A58" s="496"/>
      <c r="B58" s="632"/>
      <c r="C58" s="633"/>
      <c r="D58" s="642"/>
      <c r="E58" s="642"/>
      <c r="F58" s="630"/>
      <c r="G58" s="557"/>
      <c r="H58" s="27" t="s">
        <v>671</v>
      </c>
      <c r="I58" s="22">
        <f t="shared" si="1"/>
        <v>23529.411764705885</v>
      </c>
      <c r="J58" s="23">
        <f t="shared" si="2"/>
        <v>18.999999999999989</v>
      </c>
      <c r="K58" s="159">
        <v>28000</v>
      </c>
      <c r="L58" s="5">
        <f t="shared" ref="L58" si="83">K58*G57</f>
        <v>28000</v>
      </c>
      <c r="M58" s="542"/>
      <c r="N58" s="542"/>
      <c r="O58" s="542"/>
      <c r="P58" s="25">
        <f t="shared" si="0"/>
        <v>28000</v>
      </c>
      <c r="Q58" s="544"/>
      <c r="R58" s="542"/>
      <c r="S58" s="545"/>
      <c r="T58" s="625"/>
      <c r="U58" s="540"/>
      <c r="V58" s="29"/>
    </row>
    <row r="59" spans="1:22" ht="72" x14ac:dyDescent="0.3">
      <c r="A59" s="496">
        <v>28</v>
      </c>
      <c r="B59" s="631">
        <v>10170000</v>
      </c>
      <c r="C59" s="633" t="s">
        <v>653</v>
      </c>
      <c r="D59" s="642" t="s">
        <v>754</v>
      </c>
      <c r="E59" s="642" t="s">
        <v>750</v>
      </c>
      <c r="F59" s="630" t="s">
        <v>750</v>
      </c>
      <c r="G59" s="557">
        <v>1</v>
      </c>
      <c r="H59" s="21" t="s">
        <v>751</v>
      </c>
      <c r="I59" s="22">
        <f t="shared" si="1"/>
        <v>70576.470588235301</v>
      </c>
      <c r="J59" s="23">
        <f t="shared" si="2"/>
        <v>18.999999999999989</v>
      </c>
      <c r="K59" s="159">
        <v>83986</v>
      </c>
      <c r="L59" s="5">
        <f t="shared" ref="L59" si="84">K59*G59</f>
        <v>83986</v>
      </c>
      <c r="M59" s="542">
        <f t="shared" ref="M59" si="85">IFERROR(AVERAGE(L59:L60),"")</f>
        <v>76993</v>
      </c>
      <c r="N59" s="542">
        <f t="shared" ref="N59" si="86">IFERROR(HARMEAN(L59:L60),"")</f>
        <v>76357.850713701235</v>
      </c>
      <c r="O59" s="542">
        <f t="shared" ref="O59" si="87">IFERROR(MEDIAN(L59:L60),"")</f>
        <v>76993</v>
      </c>
      <c r="P59" s="25">
        <f t="shared" si="0"/>
        <v>83986</v>
      </c>
      <c r="Q59" s="544">
        <f t="shared" ref="Q59" si="88">IFERROR(SUM(P59:P60)/COUNTA(K59:K60),"")</f>
        <v>76993</v>
      </c>
      <c r="R59" s="542">
        <f t="shared" ref="R59" si="89">IFERROR(_xlfn.STDEV.S(L59:L60),"")</f>
        <v>9889.5954416750537</v>
      </c>
      <c r="S59" s="545">
        <f t="shared" ref="S59" si="90">IFERROR(R59/M59,"")</f>
        <v>0.12844798152656806</v>
      </c>
      <c r="T59" s="625" t="s">
        <v>752</v>
      </c>
      <c r="U59" s="540">
        <f>L60</f>
        <v>70000</v>
      </c>
      <c r="V59" s="28" t="s">
        <v>755</v>
      </c>
    </row>
    <row r="60" spans="1:22" ht="28.8" x14ac:dyDescent="0.3">
      <c r="A60" s="496"/>
      <c r="B60" s="632"/>
      <c r="C60" s="633"/>
      <c r="D60" s="642"/>
      <c r="E60" s="642"/>
      <c r="F60" s="630"/>
      <c r="G60" s="557"/>
      <c r="H60" s="27" t="s">
        <v>671</v>
      </c>
      <c r="I60" s="22">
        <f t="shared" si="1"/>
        <v>58823.529411764706</v>
      </c>
      <c r="J60" s="23">
        <f t="shared" si="2"/>
        <v>19</v>
      </c>
      <c r="K60" s="159">
        <v>70000</v>
      </c>
      <c r="L60" s="5">
        <f t="shared" ref="L60" si="91">K60*G59</f>
        <v>70000</v>
      </c>
      <c r="M60" s="542"/>
      <c r="N60" s="542"/>
      <c r="O60" s="542"/>
      <c r="P60" s="25">
        <f t="shared" si="0"/>
        <v>70000</v>
      </c>
      <c r="Q60" s="544"/>
      <c r="R60" s="542"/>
      <c r="S60" s="545"/>
      <c r="T60" s="625"/>
      <c r="U60" s="540"/>
      <c r="V60" s="29"/>
    </row>
    <row r="61" spans="1:22" ht="28.8" x14ac:dyDescent="0.3">
      <c r="A61" s="496">
        <v>29</v>
      </c>
      <c r="B61" s="636" t="s">
        <v>686</v>
      </c>
      <c r="C61" s="633" t="s">
        <v>678</v>
      </c>
      <c r="D61" s="661" t="s">
        <v>756</v>
      </c>
      <c r="E61" s="557" t="s">
        <v>570</v>
      </c>
      <c r="F61" s="630" t="s">
        <v>570</v>
      </c>
      <c r="G61" s="20">
        <v>1</v>
      </c>
      <c r="H61" s="30" t="s">
        <v>671</v>
      </c>
      <c r="I61" s="22">
        <f t="shared" si="1"/>
        <v>35294.117647058825</v>
      </c>
      <c r="J61" s="23">
        <f t="shared" si="2"/>
        <v>18.999999999999993</v>
      </c>
      <c r="K61" s="159">
        <v>42000</v>
      </c>
      <c r="L61" s="5">
        <f t="shared" ref="L61" si="92">K61*G61</f>
        <v>42000</v>
      </c>
      <c r="M61" s="542">
        <f t="shared" ref="M61" si="93">IFERROR(AVERAGE(L61:L62),"")</f>
        <v>46663</v>
      </c>
      <c r="N61" s="542">
        <f t="shared" ref="N61" si="94">IFERROR(HARMEAN(L61:L62),"")</f>
        <v>46197.029766624517</v>
      </c>
      <c r="O61" s="542">
        <f t="shared" ref="O61" si="95">IFERROR(MEDIAN(L61:L62),"")</f>
        <v>46663</v>
      </c>
      <c r="P61" s="25">
        <f t="shared" si="0"/>
        <v>42000</v>
      </c>
      <c r="Q61" s="544">
        <f t="shared" ref="Q61" si="96">IFERROR(SUM(P61:P62)/COUNTA(K61:K62),"")</f>
        <v>46663</v>
      </c>
      <c r="R61" s="542">
        <f t="shared" ref="R61" si="97">IFERROR(_xlfn.STDEV.S(L61:L62),"")</f>
        <v>6594.4778413457425</v>
      </c>
      <c r="S61" s="545">
        <f t="shared" ref="S61" si="98">IFERROR(R61/M61,"")</f>
        <v>0.14132134327723769</v>
      </c>
      <c r="T61" s="625" t="s">
        <v>658</v>
      </c>
      <c r="U61" s="540">
        <f>M61</f>
        <v>46663</v>
      </c>
      <c r="V61" s="45"/>
    </row>
    <row r="62" spans="1:22" ht="48" customHeight="1" x14ac:dyDescent="0.3">
      <c r="A62" s="496"/>
      <c r="B62" s="636"/>
      <c r="C62" s="633"/>
      <c r="D62" s="662"/>
      <c r="E62" s="557"/>
      <c r="F62" s="630"/>
      <c r="G62" s="20">
        <v>1</v>
      </c>
      <c r="H62" s="30" t="s">
        <v>676</v>
      </c>
      <c r="I62" s="22">
        <f t="shared" si="1"/>
        <v>43131.092436974795</v>
      </c>
      <c r="J62" s="23">
        <f t="shared" si="2"/>
        <v>18.999999999999982</v>
      </c>
      <c r="K62" s="159">
        <v>51326</v>
      </c>
      <c r="L62" s="5">
        <f t="shared" ref="L62" si="99">K62*G61</f>
        <v>51326</v>
      </c>
      <c r="M62" s="542"/>
      <c r="N62" s="542"/>
      <c r="O62" s="542"/>
      <c r="P62" s="25">
        <f t="shared" si="0"/>
        <v>51326</v>
      </c>
      <c r="Q62" s="544"/>
      <c r="R62" s="542"/>
      <c r="S62" s="545"/>
      <c r="T62" s="625"/>
      <c r="U62" s="540"/>
      <c r="V62" s="46" t="s">
        <v>757</v>
      </c>
    </row>
    <row r="63" spans="1:22" ht="86.4" x14ac:dyDescent="0.3">
      <c r="A63" s="496">
        <v>30</v>
      </c>
      <c r="B63" s="631">
        <v>10170000</v>
      </c>
      <c r="C63" s="633" t="s">
        <v>653</v>
      </c>
      <c r="D63" s="642" t="s">
        <v>758</v>
      </c>
      <c r="E63" s="642" t="s">
        <v>759</v>
      </c>
      <c r="F63" s="630" t="s">
        <v>759</v>
      </c>
      <c r="G63" s="20">
        <v>1</v>
      </c>
      <c r="H63" s="30" t="s">
        <v>760</v>
      </c>
      <c r="I63" s="22">
        <f t="shared" si="1"/>
        <v>61607.563025210089</v>
      </c>
      <c r="J63" s="23">
        <f t="shared" si="2"/>
        <v>18.999999999999989</v>
      </c>
      <c r="K63" s="159">
        <v>73313</v>
      </c>
      <c r="L63" s="5">
        <f t="shared" ref="L63" si="100">K63*G63</f>
        <v>73313</v>
      </c>
      <c r="M63" s="542">
        <f t="shared" ref="M63" si="101">IFERROR(AVERAGE(L63:L64),"")</f>
        <v>65656.5</v>
      </c>
      <c r="N63" s="542">
        <f t="shared" ref="N63" si="102">IFERROR(HARMEAN(L63:L64),"")</f>
        <v>64763.641071333375</v>
      </c>
      <c r="O63" s="542">
        <f t="shared" ref="O63" si="103">IFERROR(MEDIAN(L63:L64),"")</f>
        <v>65656.5</v>
      </c>
      <c r="P63" s="25">
        <f t="shared" si="0"/>
        <v>73313</v>
      </c>
      <c r="Q63" s="544">
        <f t="shared" ref="Q63" si="104">IFERROR(SUM(P63:P64)/COUNTA(K63:K64),"")</f>
        <v>65656.5</v>
      </c>
      <c r="R63" s="542">
        <f t="shared" ref="R63" si="105">IFERROR(_xlfn.STDEV.S(L63:L64),"")</f>
        <v>10827.926140309602</v>
      </c>
      <c r="S63" s="545">
        <f t="shared" ref="S63" si="106">IFERROR(R63/M63,"")</f>
        <v>0.16491780920867855</v>
      </c>
      <c r="T63" s="625" t="s">
        <v>658</v>
      </c>
      <c r="U63" s="540">
        <f>M63</f>
        <v>65656.5</v>
      </c>
      <c r="V63" s="6" t="s">
        <v>761</v>
      </c>
    </row>
    <row r="64" spans="1:22" ht="28.8" x14ac:dyDescent="0.3">
      <c r="A64" s="496"/>
      <c r="B64" s="632"/>
      <c r="C64" s="633"/>
      <c r="D64" s="642"/>
      <c r="E64" s="642"/>
      <c r="F64" s="630"/>
      <c r="G64" s="20">
        <v>1</v>
      </c>
      <c r="H64" s="30" t="s">
        <v>671</v>
      </c>
      <c r="I64" s="22">
        <f t="shared" si="1"/>
        <v>48739.495798319331</v>
      </c>
      <c r="J64" s="23">
        <f t="shared" si="2"/>
        <v>18.999999999999993</v>
      </c>
      <c r="K64" s="159">
        <v>58000</v>
      </c>
      <c r="L64" s="5">
        <f t="shared" ref="L64" si="107">K64*G63</f>
        <v>58000</v>
      </c>
      <c r="M64" s="542"/>
      <c r="N64" s="542"/>
      <c r="O64" s="542"/>
      <c r="P64" s="25">
        <f t="shared" si="0"/>
        <v>58000</v>
      </c>
      <c r="Q64" s="544"/>
      <c r="R64" s="542"/>
      <c r="S64" s="545"/>
      <c r="T64" s="625"/>
      <c r="U64" s="540"/>
      <c r="V64" s="45"/>
    </row>
    <row r="65" spans="1:22" ht="28.8" x14ac:dyDescent="0.3">
      <c r="A65" s="496">
        <v>31</v>
      </c>
      <c r="B65" s="557">
        <v>27113300</v>
      </c>
      <c r="C65" s="642" t="s">
        <v>640</v>
      </c>
      <c r="D65" s="642" t="s">
        <v>762</v>
      </c>
      <c r="E65" s="557" t="s">
        <v>570</v>
      </c>
      <c r="F65" s="630" t="s">
        <v>570</v>
      </c>
      <c r="G65" s="20">
        <v>1</v>
      </c>
      <c r="H65" s="30" t="s">
        <v>671</v>
      </c>
      <c r="I65" s="22">
        <f t="shared" si="1"/>
        <v>40336.134453781517</v>
      </c>
      <c r="J65" s="23">
        <f t="shared" si="2"/>
        <v>18.999999999999989</v>
      </c>
      <c r="K65" s="159">
        <v>48000</v>
      </c>
      <c r="L65" s="5">
        <f t="shared" ref="L65" si="108">K65*G65</f>
        <v>48000</v>
      </c>
      <c r="M65" s="542">
        <f t="shared" ref="M65" si="109">IFERROR(AVERAGE(L65:L66),"")</f>
        <v>53858</v>
      </c>
      <c r="N65" s="542">
        <f t="shared" ref="N65" si="110">IFERROR(HARMEAN(L65:L66),"")</f>
        <v>53220.839986631516</v>
      </c>
      <c r="O65" s="542">
        <f t="shared" ref="O65" si="111">IFERROR(MEDIAN(L65:L66),"")</f>
        <v>53858</v>
      </c>
      <c r="P65" s="25">
        <f t="shared" si="0"/>
        <v>48000</v>
      </c>
      <c r="Q65" s="544">
        <f t="shared" ref="Q65" si="112">IFERROR(SUM(P65:P66)/COUNTA(K65:K66),"")</f>
        <v>53858</v>
      </c>
      <c r="R65" s="542">
        <f t="shared" ref="R65" si="113">IFERROR(_xlfn.STDEV.S(L65:L66),"")</f>
        <v>8284.4630483815909</v>
      </c>
      <c r="S65" s="545">
        <f t="shared" ref="S65" si="114">IFERROR(R65/M65,"")</f>
        <v>0.15382047325154277</v>
      </c>
      <c r="T65" s="625" t="s">
        <v>658</v>
      </c>
      <c r="U65" s="540">
        <f>M65</f>
        <v>53858</v>
      </c>
      <c r="V65" s="45"/>
    </row>
    <row r="66" spans="1:22" ht="97.5" customHeight="1" x14ac:dyDescent="0.3">
      <c r="A66" s="496"/>
      <c r="B66" s="557"/>
      <c r="C66" s="642"/>
      <c r="D66" s="642"/>
      <c r="E66" s="557"/>
      <c r="F66" s="630"/>
      <c r="G66" s="20">
        <v>1</v>
      </c>
      <c r="H66" s="30" t="s">
        <v>763</v>
      </c>
      <c r="I66" s="22">
        <f t="shared" si="1"/>
        <v>50181.512605042022</v>
      </c>
      <c r="J66" s="23">
        <f t="shared" si="2"/>
        <v>18.999999999999986</v>
      </c>
      <c r="K66" s="159">
        <v>59716</v>
      </c>
      <c r="L66" s="5">
        <f t="shared" ref="L66" si="115">K66*G65</f>
        <v>59716</v>
      </c>
      <c r="M66" s="542"/>
      <c r="N66" s="542"/>
      <c r="O66" s="542"/>
      <c r="P66" s="25">
        <f t="shared" si="0"/>
        <v>59716</v>
      </c>
      <c r="Q66" s="544"/>
      <c r="R66" s="542"/>
      <c r="S66" s="545"/>
      <c r="T66" s="625"/>
      <c r="U66" s="540"/>
      <c r="V66" s="46" t="s">
        <v>764</v>
      </c>
    </row>
    <row r="67" spans="1:22" ht="63" customHeight="1" x14ac:dyDescent="0.3">
      <c r="A67" s="496">
        <v>32</v>
      </c>
      <c r="B67" s="557">
        <v>21101800</v>
      </c>
      <c r="C67" s="642" t="s">
        <v>765</v>
      </c>
      <c r="D67" s="642" t="s">
        <v>766</v>
      </c>
      <c r="E67" s="557" t="s">
        <v>570</v>
      </c>
      <c r="F67" s="630" t="s">
        <v>570</v>
      </c>
      <c r="G67" s="20">
        <v>1</v>
      </c>
      <c r="H67" s="30" t="s">
        <v>671</v>
      </c>
      <c r="I67" s="22">
        <f t="shared" si="1"/>
        <v>243697.47899159664</v>
      </c>
      <c r="J67" s="23">
        <f t="shared" si="2"/>
        <v>19</v>
      </c>
      <c r="K67" s="159">
        <v>290000</v>
      </c>
      <c r="L67" s="5">
        <f t="shared" ref="L67" si="116">K67*G67</f>
        <v>290000</v>
      </c>
      <c r="M67" s="542">
        <f t="shared" ref="M67" si="117">IFERROR(AVERAGE(L67:L68),"")</f>
        <v>330000</v>
      </c>
      <c r="N67" s="542">
        <f t="shared" ref="N67" si="118">IFERROR(HARMEAN(L67:L68),"")</f>
        <v>325151.51515151514</v>
      </c>
      <c r="O67" s="542">
        <f t="shared" ref="O67" si="119">IFERROR(MEDIAN(L67:L68),"")</f>
        <v>330000</v>
      </c>
      <c r="P67" s="25">
        <f t="shared" si="0"/>
        <v>290000</v>
      </c>
      <c r="Q67" s="544">
        <f t="shared" ref="Q67" si="120">IFERROR(SUM(P67:P68)/COUNTA(K67:K68),"")</f>
        <v>330000</v>
      </c>
      <c r="R67" s="542">
        <f t="shared" ref="R67" si="121">IFERROR(_xlfn.STDEV.S(L67:L68),"")</f>
        <v>56568.5424949238</v>
      </c>
      <c r="S67" s="545">
        <f t="shared" ref="S67" si="122">IFERROR(R67/M67,"")</f>
        <v>0.17141982574219333</v>
      </c>
      <c r="T67" s="625" t="s">
        <v>658</v>
      </c>
      <c r="U67" s="540">
        <f>M67</f>
        <v>330000</v>
      </c>
      <c r="V67" s="45"/>
    </row>
    <row r="68" spans="1:22" ht="33" customHeight="1" x14ac:dyDescent="0.3">
      <c r="A68" s="496"/>
      <c r="B68" s="557"/>
      <c r="C68" s="642"/>
      <c r="D68" s="642"/>
      <c r="E68" s="557"/>
      <c r="F68" s="630"/>
      <c r="G68" s="20">
        <v>1</v>
      </c>
      <c r="H68" s="30" t="s">
        <v>676</v>
      </c>
      <c r="I68" s="22">
        <f t="shared" si="1"/>
        <v>310924.36974789918</v>
      </c>
      <c r="J68" s="23">
        <f t="shared" si="2"/>
        <v>18.999999999999993</v>
      </c>
      <c r="K68" s="159">
        <v>370000</v>
      </c>
      <c r="L68" s="5">
        <f t="shared" ref="L68" si="123">K68*G67</f>
        <v>370000</v>
      </c>
      <c r="M68" s="542"/>
      <c r="N68" s="542"/>
      <c r="O68" s="542"/>
      <c r="P68" s="25">
        <f t="shared" si="0"/>
        <v>370000</v>
      </c>
      <c r="Q68" s="544"/>
      <c r="R68" s="542"/>
      <c r="S68" s="545"/>
      <c r="T68" s="625"/>
      <c r="U68" s="540"/>
      <c r="V68" s="46" t="s">
        <v>767</v>
      </c>
    </row>
    <row r="69" spans="1:22" ht="30.75" customHeight="1" x14ac:dyDescent="0.3">
      <c r="A69" s="496">
        <v>33</v>
      </c>
      <c r="B69" s="636" t="s">
        <v>686</v>
      </c>
      <c r="C69" s="633" t="s">
        <v>678</v>
      </c>
      <c r="D69" s="653" t="s">
        <v>768</v>
      </c>
      <c r="E69" s="557" t="s">
        <v>570</v>
      </c>
      <c r="F69" s="630" t="s">
        <v>570</v>
      </c>
      <c r="G69" s="47">
        <v>1</v>
      </c>
      <c r="H69" s="48" t="s">
        <v>671</v>
      </c>
      <c r="I69" s="32">
        <f t="shared" si="1"/>
        <v>1260.5042016806724</v>
      </c>
      <c r="J69" s="33">
        <f t="shared" si="2"/>
        <v>18.999999999999989</v>
      </c>
      <c r="K69" s="162">
        <v>1500</v>
      </c>
      <c r="L69" s="5">
        <f t="shared" ref="L69" si="124">K69*G69</f>
        <v>1500</v>
      </c>
      <c r="M69" s="542">
        <f t="shared" ref="M69" si="125">IFERROR(AVERAGE(L69:L70),"")</f>
        <v>1464</v>
      </c>
      <c r="N69" s="542">
        <f t="shared" ref="N69" si="126">IFERROR(HARMEAN(L69:L70),"")</f>
        <v>1463.1147540983607</v>
      </c>
      <c r="O69" s="542">
        <f t="shared" ref="O69" si="127">IFERROR(MEDIAN(L69:L70),"")</f>
        <v>1464</v>
      </c>
      <c r="P69" s="25">
        <f t="shared" ref="P69:P76" si="128">IF(L69="","",L69)</f>
        <v>1500</v>
      </c>
      <c r="Q69" s="544">
        <f t="shared" ref="Q69" si="129">IFERROR(SUM(P69:P70)/COUNTA(K69:K70),"")</f>
        <v>1464</v>
      </c>
      <c r="R69" s="542">
        <f t="shared" ref="R69" si="130">IFERROR(_xlfn.STDEV.S(L69:L70),"")</f>
        <v>50.911688245431421</v>
      </c>
      <c r="S69" s="545">
        <f t="shared" ref="S69" si="131">IFERROR(R69/M69,"")</f>
        <v>3.4775743337043322E-2</v>
      </c>
      <c r="T69" s="625" t="s">
        <v>658</v>
      </c>
      <c r="U69" s="540">
        <f>M69</f>
        <v>1464</v>
      </c>
      <c r="V69" s="45"/>
    </row>
    <row r="70" spans="1:22" ht="43.2" x14ac:dyDescent="0.3">
      <c r="A70" s="496"/>
      <c r="B70" s="636"/>
      <c r="C70" s="633"/>
      <c r="D70" s="653"/>
      <c r="E70" s="557"/>
      <c r="F70" s="630"/>
      <c r="G70" s="47">
        <v>1</v>
      </c>
      <c r="H70" s="48" t="s">
        <v>751</v>
      </c>
      <c r="I70" s="32">
        <f t="shared" ref="I70:I76" si="132">IFERROR(K70/((100+J70)/100),"")</f>
        <v>1200</v>
      </c>
      <c r="J70" s="33">
        <v>19</v>
      </c>
      <c r="K70" s="162">
        <v>1428</v>
      </c>
      <c r="L70" s="5">
        <f t="shared" ref="L70" si="133">K70*G69</f>
        <v>1428</v>
      </c>
      <c r="M70" s="542"/>
      <c r="N70" s="542"/>
      <c r="O70" s="542"/>
      <c r="P70" s="25">
        <f t="shared" si="128"/>
        <v>1428</v>
      </c>
      <c r="Q70" s="544"/>
      <c r="R70" s="542"/>
      <c r="S70" s="545"/>
      <c r="T70" s="625"/>
      <c r="U70" s="540"/>
      <c r="V70" s="46" t="s">
        <v>769</v>
      </c>
    </row>
    <row r="71" spans="1:22" ht="30.75" customHeight="1" x14ac:dyDescent="0.3">
      <c r="A71" s="496">
        <v>34</v>
      </c>
      <c r="B71" s="631">
        <v>30190000</v>
      </c>
      <c r="C71" s="656" t="s">
        <v>641</v>
      </c>
      <c r="D71" s="642" t="s">
        <v>770</v>
      </c>
      <c r="E71" s="557" t="s">
        <v>570</v>
      </c>
      <c r="F71" s="630" t="s">
        <v>570</v>
      </c>
      <c r="G71" s="47">
        <v>1</v>
      </c>
      <c r="H71" s="48" t="s">
        <v>736</v>
      </c>
      <c r="I71" s="32">
        <f t="shared" si="132"/>
        <v>354843.69747899158</v>
      </c>
      <c r="J71" s="33">
        <f t="shared" ref="J71:J73" si="134">IF(K71="","",(K71-(K71/1.19))/(K71/1.19)*100)</f>
        <v>19.000000000000004</v>
      </c>
      <c r="K71" s="162">
        <v>422264</v>
      </c>
      <c r="L71" s="5">
        <f t="shared" ref="L71" si="135">K71*G71</f>
        <v>422264</v>
      </c>
      <c r="M71" s="542">
        <f t="shared" ref="M71" si="136">IFERROR(AVERAGE(L71:L72),"")</f>
        <v>386132</v>
      </c>
      <c r="N71" s="542">
        <f t="shared" ref="N71" si="137">IFERROR(HARMEAN(L71:L72),"")</f>
        <v>382750.97635005647</v>
      </c>
      <c r="O71" s="542">
        <f t="shared" ref="O71" si="138">IFERROR(MEDIAN(L71:L72),"")</f>
        <v>386132</v>
      </c>
      <c r="P71" s="25">
        <f t="shared" si="128"/>
        <v>422264</v>
      </c>
      <c r="Q71" s="544">
        <f t="shared" ref="Q71" si="139">IFERROR(SUM(P71:P72)/COUNTA(K71:K72),"")</f>
        <v>386132</v>
      </c>
      <c r="R71" s="542">
        <f t="shared" ref="R71" si="140">IFERROR(_xlfn.STDEV.S(L71:L72),"")</f>
        <v>51098.364435664669</v>
      </c>
      <c r="S71" s="545">
        <f t="shared" ref="S71" si="141">IFERROR(R71/M71,"")</f>
        <v>0.13233392838631522</v>
      </c>
      <c r="T71" s="625" t="s">
        <v>658</v>
      </c>
      <c r="U71" s="540">
        <f>M71</f>
        <v>386132</v>
      </c>
      <c r="V71" s="28" t="s">
        <v>771</v>
      </c>
    </row>
    <row r="72" spans="1:22" ht="38.25" customHeight="1" x14ac:dyDescent="0.3">
      <c r="A72" s="496"/>
      <c r="B72" s="632"/>
      <c r="C72" s="656"/>
      <c r="D72" s="642"/>
      <c r="E72" s="557"/>
      <c r="F72" s="630"/>
      <c r="G72" s="20">
        <v>1</v>
      </c>
      <c r="H72" s="49" t="s">
        <v>671</v>
      </c>
      <c r="I72" s="35">
        <f t="shared" si="132"/>
        <v>294117.64705882355</v>
      </c>
      <c r="J72" s="36">
        <f t="shared" si="134"/>
        <v>18.999999999999989</v>
      </c>
      <c r="K72" s="163">
        <v>350000</v>
      </c>
      <c r="L72" s="5">
        <f t="shared" ref="L72" si="142">K72*G71</f>
        <v>350000</v>
      </c>
      <c r="M72" s="542"/>
      <c r="N72" s="542"/>
      <c r="O72" s="542"/>
      <c r="P72" s="25">
        <f t="shared" si="128"/>
        <v>350000</v>
      </c>
      <c r="Q72" s="544"/>
      <c r="R72" s="542"/>
      <c r="S72" s="545"/>
      <c r="T72" s="625"/>
      <c r="U72" s="540"/>
      <c r="V72" s="45"/>
    </row>
    <row r="73" spans="1:22" ht="28.8" x14ac:dyDescent="0.3">
      <c r="A73" s="496">
        <v>35</v>
      </c>
      <c r="B73" s="663">
        <v>30190000</v>
      </c>
      <c r="C73" s="665" t="s">
        <v>641</v>
      </c>
      <c r="D73" s="666" t="s">
        <v>772</v>
      </c>
      <c r="E73" s="657" t="s">
        <v>570</v>
      </c>
      <c r="F73" s="655" t="s">
        <v>570</v>
      </c>
      <c r="G73" s="20">
        <v>1</v>
      </c>
      <c r="H73" s="30" t="s">
        <v>671</v>
      </c>
      <c r="I73" s="35">
        <f t="shared" si="132"/>
        <v>378151.26050420169</v>
      </c>
      <c r="J73" s="36">
        <f t="shared" si="134"/>
        <v>18.999999999999993</v>
      </c>
      <c r="K73" s="159">
        <v>450000</v>
      </c>
      <c r="L73" s="5">
        <f t="shared" ref="L73" si="143">K73*G73</f>
        <v>450000</v>
      </c>
      <c r="M73" s="542">
        <f t="shared" ref="M73" si="144">IFERROR(AVERAGE(L73:L74),"")</f>
        <v>345536</v>
      </c>
      <c r="N73" s="542">
        <f t="shared" ref="N73" si="145">IFERROR(HARMEAN(L73:L74),"")</f>
        <v>313953.97295795515</v>
      </c>
      <c r="O73" s="542">
        <f t="shared" ref="O73" si="146">IFERROR(MEDIAN(L73:L74),"")</f>
        <v>345536</v>
      </c>
      <c r="P73" s="25">
        <f t="shared" si="128"/>
        <v>450000</v>
      </c>
      <c r="Q73" s="544">
        <f t="shared" ref="Q73" si="147">IFERROR(SUM(P73:P74)/COUNTA(K73:K74),"")</f>
        <v>345536</v>
      </c>
      <c r="R73" s="542">
        <f t="shared" ref="R73" si="148">IFERROR(_xlfn.STDEV.S(L73:L74),"")</f>
        <v>147734.405579743</v>
      </c>
      <c r="S73" s="545">
        <f t="shared" ref="S73" si="149">IFERROR(R73/M73,"")</f>
        <v>0.42755141455519252</v>
      </c>
      <c r="T73" s="625" t="s">
        <v>658</v>
      </c>
      <c r="U73" s="540">
        <f>M73</f>
        <v>345536</v>
      </c>
      <c r="V73" s="45"/>
    </row>
    <row r="74" spans="1:22" ht="51.75" customHeight="1" x14ac:dyDescent="0.3">
      <c r="A74" s="496"/>
      <c r="B74" s="664"/>
      <c r="C74" s="665"/>
      <c r="D74" s="666"/>
      <c r="E74" s="657"/>
      <c r="F74" s="655"/>
      <c r="G74" s="20">
        <v>1</v>
      </c>
      <c r="H74" s="30" t="s">
        <v>80</v>
      </c>
      <c r="I74" s="41">
        <f t="shared" si="132"/>
        <v>202581.51260504202</v>
      </c>
      <c r="J74" s="23">
        <v>19</v>
      </c>
      <c r="K74" s="159">
        <v>241072</v>
      </c>
      <c r="L74" s="5">
        <f t="shared" ref="L74" si="150">K74*G73</f>
        <v>241072</v>
      </c>
      <c r="M74" s="542"/>
      <c r="N74" s="542"/>
      <c r="O74" s="542"/>
      <c r="P74" s="25">
        <f t="shared" si="128"/>
        <v>241072</v>
      </c>
      <c r="Q74" s="544"/>
      <c r="R74" s="542"/>
      <c r="S74" s="545"/>
      <c r="T74" s="625"/>
      <c r="U74" s="540"/>
      <c r="V74" s="50" t="s">
        <v>773</v>
      </c>
    </row>
    <row r="75" spans="1:22" ht="69.75" customHeight="1" x14ac:dyDescent="0.3">
      <c r="A75" s="496">
        <v>36</v>
      </c>
      <c r="B75" s="636">
        <v>24120000</v>
      </c>
      <c r="C75" s="633" t="s">
        <v>638</v>
      </c>
      <c r="D75" s="642" t="s">
        <v>774</v>
      </c>
      <c r="E75" s="642" t="s">
        <v>775</v>
      </c>
      <c r="F75" s="630" t="s">
        <v>721</v>
      </c>
      <c r="G75" s="47">
        <v>1</v>
      </c>
      <c r="H75" s="48" t="s">
        <v>736</v>
      </c>
      <c r="I75" s="51">
        <f t="shared" si="132"/>
        <v>8067.226890756303</v>
      </c>
      <c r="J75" s="52">
        <f t="shared" ref="J75:J76" si="151">IF(K75="","",(K75-(K75/1.19))/(K75/1.19)*100)</f>
        <v>18.999999999999993</v>
      </c>
      <c r="K75" s="164">
        <v>9600</v>
      </c>
      <c r="L75" s="54">
        <v>9600</v>
      </c>
      <c r="M75" s="542">
        <f t="shared" ref="M75" si="152">IFERROR(AVERAGE(L75:L76),"")</f>
        <v>10800</v>
      </c>
      <c r="N75" s="542">
        <f t="shared" ref="N75" si="153">IFERROR(HARMEAN(L75:L76),"")</f>
        <v>10666.666666666666</v>
      </c>
      <c r="O75" s="542">
        <f t="shared" ref="O75" si="154">IFERROR(MEDIAN(L75:L76),"")</f>
        <v>10800</v>
      </c>
      <c r="P75" s="25">
        <f t="shared" si="128"/>
        <v>9600</v>
      </c>
      <c r="Q75" s="544">
        <f t="shared" ref="Q75" si="155">IFERROR(SUM(P75:P76)/COUNTA(K75:K76),"")</f>
        <v>10800</v>
      </c>
      <c r="R75" s="542">
        <f t="shared" ref="R75" si="156">IFERROR(_xlfn.STDEV.S(L75:L76),"")</f>
        <v>1697.0562748477141</v>
      </c>
      <c r="S75" s="545">
        <f t="shared" ref="S75" si="157">IFERROR(R75/M75,"")</f>
        <v>0.15713484026367724</v>
      </c>
      <c r="T75" s="625" t="s">
        <v>658</v>
      </c>
      <c r="U75" s="540">
        <f>M75</f>
        <v>10800</v>
      </c>
      <c r="V75" s="28" t="s">
        <v>776</v>
      </c>
    </row>
    <row r="76" spans="1:22" ht="43.95" customHeight="1" x14ac:dyDescent="0.3">
      <c r="A76" s="496"/>
      <c r="B76" s="636"/>
      <c r="C76" s="633"/>
      <c r="D76" s="642"/>
      <c r="E76" s="642"/>
      <c r="F76" s="630"/>
      <c r="G76" s="47">
        <v>1</v>
      </c>
      <c r="H76" s="48" t="s">
        <v>671</v>
      </c>
      <c r="I76" s="51">
        <f t="shared" si="132"/>
        <v>10084.033613445379</v>
      </c>
      <c r="J76" s="52">
        <f t="shared" si="151"/>
        <v>18.999999999999989</v>
      </c>
      <c r="K76" s="164">
        <v>12000</v>
      </c>
      <c r="L76" s="54">
        <f t="shared" ref="L76" si="158">K76*G75</f>
        <v>12000</v>
      </c>
      <c r="M76" s="542"/>
      <c r="N76" s="542"/>
      <c r="O76" s="542"/>
      <c r="P76" s="25">
        <f t="shared" si="128"/>
        <v>12000</v>
      </c>
      <c r="Q76" s="544"/>
      <c r="R76" s="542"/>
      <c r="S76" s="545"/>
      <c r="T76" s="625"/>
      <c r="U76" s="540"/>
      <c r="V76" s="45"/>
    </row>
    <row r="78" spans="1:22" x14ac:dyDescent="0.3">
      <c r="M78" s="158">
        <f>SUM(M5:M77)</f>
        <v>2720640.7649999997</v>
      </c>
      <c r="U78" s="205">
        <f>SUM(U5:U77)</f>
        <v>2689899.7649999997</v>
      </c>
    </row>
  </sheetData>
  <mergeCells count="538">
    <mergeCell ref="T75:T76"/>
    <mergeCell ref="U75:U76"/>
    <mergeCell ref="M75:M76"/>
    <mergeCell ref="N75:N76"/>
    <mergeCell ref="O75:O76"/>
    <mergeCell ref="Q75:Q76"/>
    <mergeCell ref="R75:R76"/>
    <mergeCell ref="S75:S76"/>
    <mergeCell ref="A75:A76"/>
    <mergeCell ref="B75:B76"/>
    <mergeCell ref="C75:C76"/>
    <mergeCell ref="D75:D76"/>
    <mergeCell ref="E75:E76"/>
    <mergeCell ref="F75:F76"/>
    <mergeCell ref="O73:O74"/>
    <mergeCell ref="Q73:Q74"/>
    <mergeCell ref="R73:R74"/>
    <mergeCell ref="S73:S74"/>
    <mergeCell ref="T73:T74"/>
    <mergeCell ref="U73:U74"/>
    <mergeCell ref="T71:T72"/>
    <mergeCell ref="U71:U72"/>
    <mergeCell ref="A73:A74"/>
    <mergeCell ref="B73:B74"/>
    <mergeCell ref="C73:C74"/>
    <mergeCell ref="D73:D74"/>
    <mergeCell ref="E73:E74"/>
    <mergeCell ref="F73:F74"/>
    <mergeCell ref="M73:M74"/>
    <mergeCell ref="N73:N74"/>
    <mergeCell ref="M71:M72"/>
    <mergeCell ref="N71:N72"/>
    <mergeCell ref="O71:O72"/>
    <mergeCell ref="Q71:Q72"/>
    <mergeCell ref="R71:R72"/>
    <mergeCell ref="S71:S72"/>
    <mergeCell ref="A71:A72"/>
    <mergeCell ref="B71:B72"/>
    <mergeCell ref="C71:C72"/>
    <mergeCell ref="D71:D72"/>
    <mergeCell ref="E71:E72"/>
    <mergeCell ref="F71:F72"/>
    <mergeCell ref="O69:O70"/>
    <mergeCell ref="Q69:Q70"/>
    <mergeCell ref="R69:R70"/>
    <mergeCell ref="S69:S70"/>
    <mergeCell ref="T69:T70"/>
    <mergeCell ref="U69:U70"/>
    <mergeCell ref="T67:T68"/>
    <mergeCell ref="U67:U68"/>
    <mergeCell ref="A69:A70"/>
    <mergeCell ref="B69:B70"/>
    <mergeCell ref="C69:C70"/>
    <mergeCell ref="D69:D70"/>
    <mergeCell ref="E69:E70"/>
    <mergeCell ref="F69:F70"/>
    <mergeCell ref="M69:M70"/>
    <mergeCell ref="N69:N70"/>
    <mergeCell ref="M67:M68"/>
    <mergeCell ref="N67:N68"/>
    <mergeCell ref="O67:O68"/>
    <mergeCell ref="Q67:Q68"/>
    <mergeCell ref="R67:R68"/>
    <mergeCell ref="S67:S68"/>
    <mergeCell ref="A67:A68"/>
    <mergeCell ref="B67:B68"/>
    <mergeCell ref="C67:C68"/>
    <mergeCell ref="D67:D68"/>
    <mergeCell ref="E67:E68"/>
    <mergeCell ref="F67:F68"/>
    <mergeCell ref="O65:O66"/>
    <mergeCell ref="Q65:Q66"/>
    <mergeCell ref="R65:R66"/>
    <mergeCell ref="S65:S66"/>
    <mergeCell ref="T65:T66"/>
    <mergeCell ref="U65:U66"/>
    <mergeCell ref="T63:T64"/>
    <mergeCell ref="U63:U64"/>
    <mergeCell ref="A65:A66"/>
    <mergeCell ref="B65:B66"/>
    <mergeCell ref="C65:C66"/>
    <mergeCell ref="D65:D66"/>
    <mergeCell ref="E65:E66"/>
    <mergeCell ref="F65:F66"/>
    <mergeCell ref="M65:M66"/>
    <mergeCell ref="N65:N66"/>
    <mergeCell ref="M63:M64"/>
    <mergeCell ref="N63:N64"/>
    <mergeCell ref="O63:O64"/>
    <mergeCell ref="Q63:Q64"/>
    <mergeCell ref="R63:R64"/>
    <mergeCell ref="S63:S64"/>
    <mergeCell ref="A63:A64"/>
    <mergeCell ref="B63:B64"/>
    <mergeCell ref="C63:C64"/>
    <mergeCell ref="D63:D64"/>
    <mergeCell ref="E63:E64"/>
    <mergeCell ref="F63:F64"/>
    <mergeCell ref="O61:O62"/>
    <mergeCell ref="Q61:Q62"/>
    <mergeCell ref="R61:R62"/>
    <mergeCell ref="S61:S62"/>
    <mergeCell ref="T61:T62"/>
    <mergeCell ref="E57:E58"/>
    <mergeCell ref="F57:F58"/>
    <mergeCell ref="U61:U62"/>
    <mergeCell ref="T59:T60"/>
    <mergeCell ref="U59:U60"/>
    <mergeCell ref="A61:A62"/>
    <mergeCell ref="B61:B62"/>
    <mergeCell ref="C61:C62"/>
    <mergeCell ref="D61:D62"/>
    <mergeCell ref="E61:E62"/>
    <mergeCell ref="F61:F62"/>
    <mergeCell ref="M61:M62"/>
    <mergeCell ref="N61:N62"/>
    <mergeCell ref="M59:M60"/>
    <mergeCell ref="N59:N60"/>
    <mergeCell ref="O59:O60"/>
    <mergeCell ref="Q59:Q60"/>
    <mergeCell ref="R59:R60"/>
    <mergeCell ref="S59:S60"/>
    <mergeCell ref="C53:C54"/>
    <mergeCell ref="D53:D54"/>
    <mergeCell ref="E53:E54"/>
    <mergeCell ref="F53:F54"/>
    <mergeCell ref="S57:S58"/>
    <mergeCell ref="T57:T58"/>
    <mergeCell ref="U57:U58"/>
    <mergeCell ref="A59:A60"/>
    <mergeCell ref="B59:B60"/>
    <mergeCell ref="C59:C60"/>
    <mergeCell ref="D59:D60"/>
    <mergeCell ref="E59:E60"/>
    <mergeCell ref="F59:F60"/>
    <mergeCell ref="G59:G60"/>
    <mergeCell ref="G57:G58"/>
    <mergeCell ref="M57:M58"/>
    <mergeCell ref="N57:N58"/>
    <mergeCell ref="O57:O58"/>
    <mergeCell ref="Q57:Q58"/>
    <mergeCell ref="R57:R58"/>
    <mergeCell ref="A57:A58"/>
    <mergeCell ref="B57:B58"/>
    <mergeCell ref="C57:C58"/>
    <mergeCell ref="D57:D58"/>
    <mergeCell ref="O55:O56"/>
    <mergeCell ref="Q55:Q56"/>
    <mergeCell ref="R55:R56"/>
    <mergeCell ref="S55:S56"/>
    <mergeCell ref="T55:T56"/>
    <mergeCell ref="U55:U56"/>
    <mergeCell ref="U53:U54"/>
    <mergeCell ref="A55:A56"/>
    <mergeCell ref="B55:B56"/>
    <mergeCell ref="C55:C56"/>
    <mergeCell ref="D55:D56"/>
    <mergeCell ref="E55:E56"/>
    <mergeCell ref="F55:F56"/>
    <mergeCell ref="G55:G56"/>
    <mergeCell ref="M55:M56"/>
    <mergeCell ref="N55:N56"/>
    <mergeCell ref="N53:N54"/>
    <mergeCell ref="O53:O54"/>
    <mergeCell ref="Q53:Q54"/>
    <mergeCell ref="R53:R54"/>
    <mergeCell ref="S53:S54"/>
    <mergeCell ref="T53:T54"/>
    <mergeCell ref="A53:A54"/>
    <mergeCell ref="B53:B54"/>
    <mergeCell ref="G53:G54"/>
    <mergeCell ref="M53:M54"/>
    <mergeCell ref="M51:M52"/>
    <mergeCell ref="S49:S50"/>
    <mergeCell ref="T49:T50"/>
    <mergeCell ref="U49:U50"/>
    <mergeCell ref="A51:A52"/>
    <mergeCell ref="B51:B52"/>
    <mergeCell ref="C51:C52"/>
    <mergeCell ref="D51:D52"/>
    <mergeCell ref="E51:E52"/>
    <mergeCell ref="F51:F52"/>
    <mergeCell ref="G51:G52"/>
    <mergeCell ref="G49:G50"/>
    <mergeCell ref="M49:M50"/>
    <mergeCell ref="N49:N50"/>
    <mergeCell ref="O49:O50"/>
    <mergeCell ref="Q49:Q50"/>
    <mergeCell ref="R49:R50"/>
    <mergeCell ref="A49:A50"/>
    <mergeCell ref="B49:B50"/>
    <mergeCell ref="C49:C50"/>
    <mergeCell ref="D49:D50"/>
    <mergeCell ref="E49:E50"/>
    <mergeCell ref="F49:F50"/>
    <mergeCell ref="T51:T52"/>
    <mergeCell ref="U51:U52"/>
    <mergeCell ref="O47:O48"/>
    <mergeCell ref="Q47:Q48"/>
    <mergeCell ref="R47:R48"/>
    <mergeCell ref="S47:S48"/>
    <mergeCell ref="T47:T48"/>
    <mergeCell ref="U47:U48"/>
    <mergeCell ref="N51:N52"/>
    <mergeCell ref="O51:O52"/>
    <mergeCell ref="Q51:Q52"/>
    <mergeCell ref="R51:R52"/>
    <mergeCell ref="S51:S52"/>
    <mergeCell ref="T45:T46"/>
    <mergeCell ref="U45:U46"/>
    <mergeCell ref="A47:A48"/>
    <mergeCell ref="B47:B48"/>
    <mergeCell ref="C47:C48"/>
    <mergeCell ref="D47:D48"/>
    <mergeCell ref="E47:E48"/>
    <mergeCell ref="F47:F48"/>
    <mergeCell ref="M47:M48"/>
    <mergeCell ref="N47:N48"/>
    <mergeCell ref="M45:M46"/>
    <mergeCell ref="N45:N46"/>
    <mergeCell ref="O45:O46"/>
    <mergeCell ref="Q45:Q46"/>
    <mergeCell ref="R45:R46"/>
    <mergeCell ref="S45:S46"/>
    <mergeCell ref="A45:A46"/>
    <mergeCell ref="B45:B46"/>
    <mergeCell ref="C45:C46"/>
    <mergeCell ref="D45:D46"/>
    <mergeCell ref="E45:E46"/>
    <mergeCell ref="F45:F46"/>
    <mergeCell ref="O43:O44"/>
    <mergeCell ref="Q43:Q44"/>
    <mergeCell ref="R43:R44"/>
    <mergeCell ref="S43:S44"/>
    <mergeCell ref="T43:T44"/>
    <mergeCell ref="U43:U44"/>
    <mergeCell ref="T41:T42"/>
    <mergeCell ref="U41:U42"/>
    <mergeCell ref="A43:A44"/>
    <mergeCell ref="B43:B44"/>
    <mergeCell ref="C43:C44"/>
    <mergeCell ref="D43:D44"/>
    <mergeCell ref="E43:E44"/>
    <mergeCell ref="F43:F44"/>
    <mergeCell ref="M43:M44"/>
    <mergeCell ref="N43:N44"/>
    <mergeCell ref="M41:M42"/>
    <mergeCell ref="N41:N42"/>
    <mergeCell ref="O41:O42"/>
    <mergeCell ref="Q41:Q42"/>
    <mergeCell ref="R41:R42"/>
    <mergeCell ref="S41:S42"/>
    <mergeCell ref="A41:A42"/>
    <mergeCell ref="B41:B42"/>
    <mergeCell ref="C41:C42"/>
    <mergeCell ref="D41:D42"/>
    <mergeCell ref="E41:E42"/>
    <mergeCell ref="F41:F42"/>
    <mergeCell ref="O39:O40"/>
    <mergeCell ref="Q39:Q40"/>
    <mergeCell ref="R39:R40"/>
    <mergeCell ref="S39:S40"/>
    <mergeCell ref="T39:T40"/>
    <mergeCell ref="U39:U40"/>
    <mergeCell ref="T37:T38"/>
    <mergeCell ref="U37:U38"/>
    <mergeCell ref="A39:A40"/>
    <mergeCell ref="B39:B40"/>
    <mergeCell ref="C39:C40"/>
    <mergeCell ref="D39:D40"/>
    <mergeCell ref="E39:E40"/>
    <mergeCell ref="F39:F40"/>
    <mergeCell ref="M39:M40"/>
    <mergeCell ref="N39:N40"/>
    <mergeCell ref="M37:M38"/>
    <mergeCell ref="N37:N38"/>
    <mergeCell ref="O37:O38"/>
    <mergeCell ref="Q37:Q38"/>
    <mergeCell ref="R37:R38"/>
    <mergeCell ref="S37:S38"/>
    <mergeCell ref="A37:A38"/>
    <mergeCell ref="B37:B38"/>
    <mergeCell ref="C37:C38"/>
    <mergeCell ref="D37:D38"/>
    <mergeCell ref="E37:E38"/>
    <mergeCell ref="F37:F38"/>
    <mergeCell ref="O35:O36"/>
    <mergeCell ref="Q35:Q36"/>
    <mergeCell ref="R35:R36"/>
    <mergeCell ref="S35:S36"/>
    <mergeCell ref="T35:T36"/>
    <mergeCell ref="U35:U36"/>
    <mergeCell ref="T33:T34"/>
    <mergeCell ref="U33:U34"/>
    <mergeCell ref="A35:A36"/>
    <mergeCell ref="B35:B36"/>
    <mergeCell ref="C35:C36"/>
    <mergeCell ref="D35:D36"/>
    <mergeCell ref="E35:E36"/>
    <mergeCell ref="F35:F36"/>
    <mergeCell ref="M35:M36"/>
    <mergeCell ref="N35:N36"/>
    <mergeCell ref="M33:M34"/>
    <mergeCell ref="N33:N34"/>
    <mergeCell ref="O33:O34"/>
    <mergeCell ref="Q33:Q34"/>
    <mergeCell ref="R33:R34"/>
    <mergeCell ref="S33:S34"/>
    <mergeCell ref="A33:A34"/>
    <mergeCell ref="B33:B34"/>
    <mergeCell ref="C33:C34"/>
    <mergeCell ref="D33:D34"/>
    <mergeCell ref="E33:E34"/>
    <mergeCell ref="F33:F34"/>
    <mergeCell ref="O31:O32"/>
    <mergeCell ref="Q31:Q32"/>
    <mergeCell ref="R31:R32"/>
    <mergeCell ref="S31:S32"/>
    <mergeCell ref="T31:T32"/>
    <mergeCell ref="U31:U32"/>
    <mergeCell ref="T29:T30"/>
    <mergeCell ref="U29:U30"/>
    <mergeCell ref="A31:A32"/>
    <mergeCell ref="B31:B32"/>
    <mergeCell ref="C31:C32"/>
    <mergeCell ref="D31:D32"/>
    <mergeCell ref="E31:E32"/>
    <mergeCell ref="F31:F32"/>
    <mergeCell ref="M31:M32"/>
    <mergeCell ref="N31:N32"/>
    <mergeCell ref="M29:M30"/>
    <mergeCell ref="N29:N30"/>
    <mergeCell ref="O29:O30"/>
    <mergeCell ref="Q29:Q30"/>
    <mergeCell ref="R29:R30"/>
    <mergeCell ref="S29:S30"/>
    <mergeCell ref="A29:A30"/>
    <mergeCell ref="B29:B30"/>
    <mergeCell ref="C29:C30"/>
    <mergeCell ref="D29:D30"/>
    <mergeCell ref="E29:E30"/>
    <mergeCell ref="F29:F30"/>
    <mergeCell ref="O27:O28"/>
    <mergeCell ref="Q27:Q28"/>
    <mergeCell ref="R27:R28"/>
    <mergeCell ref="S27:S28"/>
    <mergeCell ref="T27:T28"/>
    <mergeCell ref="U27:U28"/>
    <mergeCell ref="T25:T26"/>
    <mergeCell ref="U25:U26"/>
    <mergeCell ref="A27:A28"/>
    <mergeCell ref="B27:B28"/>
    <mergeCell ref="C27:C28"/>
    <mergeCell ref="D27:D28"/>
    <mergeCell ref="E27:E28"/>
    <mergeCell ref="F27:F28"/>
    <mergeCell ref="M27:M28"/>
    <mergeCell ref="N27:N28"/>
    <mergeCell ref="M25:M26"/>
    <mergeCell ref="N25:N26"/>
    <mergeCell ref="O25:O26"/>
    <mergeCell ref="Q25:Q26"/>
    <mergeCell ref="R25:R26"/>
    <mergeCell ref="S25:S26"/>
    <mergeCell ref="A25:A26"/>
    <mergeCell ref="B25:B26"/>
    <mergeCell ref="C25:C26"/>
    <mergeCell ref="D25:D26"/>
    <mergeCell ref="E25:E26"/>
    <mergeCell ref="F25:F26"/>
    <mergeCell ref="O23:O24"/>
    <mergeCell ref="Q23:Q24"/>
    <mergeCell ref="R23:R24"/>
    <mergeCell ref="S23:S24"/>
    <mergeCell ref="T23:T24"/>
    <mergeCell ref="U23:U24"/>
    <mergeCell ref="T21:T22"/>
    <mergeCell ref="U21:U22"/>
    <mergeCell ref="A23:A24"/>
    <mergeCell ref="B23:B24"/>
    <mergeCell ref="C23:C24"/>
    <mergeCell ref="D23:D24"/>
    <mergeCell ref="E23:E24"/>
    <mergeCell ref="F23:F24"/>
    <mergeCell ref="M23:M24"/>
    <mergeCell ref="N23:N24"/>
    <mergeCell ref="M21:M22"/>
    <mergeCell ref="N21:N22"/>
    <mergeCell ref="O21:O22"/>
    <mergeCell ref="Q21:Q22"/>
    <mergeCell ref="R21:R22"/>
    <mergeCell ref="S21:S22"/>
    <mergeCell ref="A21:A22"/>
    <mergeCell ref="B21:B22"/>
    <mergeCell ref="C21:C22"/>
    <mergeCell ref="D21:D22"/>
    <mergeCell ref="E21:E22"/>
    <mergeCell ref="F21:F22"/>
    <mergeCell ref="O19:O20"/>
    <mergeCell ref="Q19:Q20"/>
    <mergeCell ref="R19:R20"/>
    <mergeCell ref="S19:S20"/>
    <mergeCell ref="T19:T20"/>
    <mergeCell ref="U19:U20"/>
    <mergeCell ref="T17:T18"/>
    <mergeCell ref="U17:U18"/>
    <mergeCell ref="A19:A20"/>
    <mergeCell ref="B19:B20"/>
    <mergeCell ref="C19:C20"/>
    <mergeCell ref="D19:D20"/>
    <mergeCell ref="E19:E20"/>
    <mergeCell ref="F19:F20"/>
    <mergeCell ref="M19:M20"/>
    <mergeCell ref="N19:N20"/>
    <mergeCell ref="M17:M18"/>
    <mergeCell ref="N17:N18"/>
    <mergeCell ref="O17:O18"/>
    <mergeCell ref="Q17:Q18"/>
    <mergeCell ref="R17:R18"/>
    <mergeCell ref="S17:S18"/>
    <mergeCell ref="A17:A18"/>
    <mergeCell ref="B17:B18"/>
    <mergeCell ref="C17:C18"/>
    <mergeCell ref="D17:D18"/>
    <mergeCell ref="E17:E18"/>
    <mergeCell ref="F17:F18"/>
    <mergeCell ref="O15:O16"/>
    <mergeCell ref="Q15:Q16"/>
    <mergeCell ref="R15:R16"/>
    <mergeCell ref="S15:S16"/>
    <mergeCell ref="T15:T16"/>
    <mergeCell ref="U15:U16"/>
    <mergeCell ref="T13:T14"/>
    <mergeCell ref="U13:U14"/>
    <mergeCell ref="A15:A16"/>
    <mergeCell ref="B15:B16"/>
    <mergeCell ref="C15:C16"/>
    <mergeCell ref="D15:D16"/>
    <mergeCell ref="E15:E16"/>
    <mergeCell ref="F15:F16"/>
    <mergeCell ref="M15:M16"/>
    <mergeCell ref="N15:N16"/>
    <mergeCell ref="M13:M14"/>
    <mergeCell ref="N13:N14"/>
    <mergeCell ref="O13:O14"/>
    <mergeCell ref="Q13:Q14"/>
    <mergeCell ref="R13:R14"/>
    <mergeCell ref="S13:S14"/>
    <mergeCell ref="A13:A14"/>
    <mergeCell ref="B13:B14"/>
    <mergeCell ref="C13:C14"/>
    <mergeCell ref="D13:D14"/>
    <mergeCell ref="E13:E14"/>
    <mergeCell ref="F13:F14"/>
    <mergeCell ref="A11:A12"/>
    <mergeCell ref="B11:B12"/>
    <mergeCell ref="C11:C12"/>
    <mergeCell ref="D11:D12"/>
    <mergeCell ref="E11:E12"/>
    <mergeCell ref="F11:F12"/>
    <mergeCell ref="M11:M12"/>
    <mergeCell ref="N11:N12"/>
    <mergeCell ref="M9:M10"/>
    <mergeCell ref="N9:N10"/>
    <mergeCell ref="A9:A10"/>
    <mergeCell ref="B9:B10"/>
    <mergeCell ref="R7:R8"/>
    <mergeCell ref="S7:S8"/>
    <mergeCell ref="T7:T8"/>
    <mergeCell ref="O11:O12"/>
    <mergeCell ref="Q11:Q12"/>
    <mergeCell ref="R11:R12"/>
    <mergeCell ref="S11:S12"/>
    <mergeCell ref="T11:T12"/>
    <mergeCell ref="U11:U12"/>
    <mergeCell ref="T9:T10"/>
    <mergeCell ref="U9:U10"/>
    <mergeCell ref="O9:O10"/>
    <mergeCell ref="Q9:Q10"/>
    <mergeCell ref="R9:R10"/>
    <mergeCell ref="S9:S10"/>
    <mergeCell ref="D5:D6"/>
    <mergeCell ref="E5:E6"/>
    <mergeCell ref="F5:F6"/>
    <mergeCell ref="C9:C10"/>
    <mergeCell ref="D9:D10"/>
    <mergeCell ref="E9:E10"/>
    <mergeCell ref="F9:F10"/>
    <mergeCell ref="O7:O8"/>
    <mergeCell ref="Q7:Q8"/>
    <mergeCell ref="I3:I4"/>
    <mergeCell ref="J3:J4"/>
    <mergeCell ref="K3:K4"/>
    <mergeCell ref="L3:L4"/>
    <mergeCell ref="U7:U8"/>
    <mergeCell ref="T5:T6"/>
    <mergeCell ref="U5:U6"/>
    <mergeCell ref="A7:A8"/>
    <mergeCell ref="B7:B8"/>
    <mergeCell ref="C7:C8"/>
    <mergeCell ref="D7:D8"/>
    <mergeCell ref="E7:E8"/>
    <mergeCell ref="F7:F8"/>
    <mergeCell ref="M7:M8"/>
    <mergeCell ref="N7:N8"/>
    <mergeCell ref="M5:M6"/>
    <mergeCell ref="N5:N6"/>
    <mergeCell ref="O5:O6"/>
    <mergeCell ref="Q5:Q6"/>
    <mergeCell ref="R5:R6"/>
    <mergeCell ref="S5:S6"/>
    <mergeCell ref="A5:A6"/>
    <mergeCell ref="B5:B6"/>
    <mergeCell ref="C5:C6"/>
    <mergeCell ref="A3:A4"/>
    <mergeCell ref="B3:B4"/>
    <mergeCell ref="V1:V2"/>
    <mergeCell ref="C3:C4"/>
    <mergeCell ref="D3:D4"/>
    <mergeCell ref="E3:E4"/>
    <mergeCell ref="F3:F4"/>
    <mergeCell ref="A1:B2"/>
    <mergeCell ref="C1:G2"/>
    <mergeCell ref="H1:L2"/>
    <mergeCell ref="M1:T2"/>
    <mergeCell ref="U1:U2"/>
    <mergeCell ref="S3:S4"/>
    <mergeCell ref="T3:T4"/>
    <mergeCell ref="U3:U4"/>
    <mergeCell ref="V3:V4"/>
    <mergeCell ref="P3:P4"/>
    <mergeCell ref="Q3:Q4"/>
    <mergeCell ref="R3:R4"/>
    <mergeCell ref="M3:M4"/>
    <mergeCell ref="N3:N4"/>
    <mergeCell ref="O3:O4"/>
    <mergeCell ref="G3:G4"/>
    <mergeCell ref="H3:H4"/>
  </mergeCells>
  <conditionalFormatting sqref="A5 D5 I5:J76 A9 A13 A17 A21 A25 A29 A33 A37 A41 A45 A49 A53 A57 A61 A65 A69 A73">
    <cfRule type="containsBlanks" dxfId="74" priority="26">
      <formula>LEN(TRIM(A5))=0</formula>
    </cfRule>
  </conditionalFormatting>
  <conditionalFormatting sqref="B5:C5 K5:K18 H5:H76 K20:K76 D47">
    <cfRule type="containsBlanks" dxfId="73" priority="21">
      <formula>LEN(TRIM(B5))=0</formula>
    </cfRule>
  </conditionalFormatting>
  <conditionalFormatting sqref="B7:D7">
    <cfRule type="containsBlanks" dxfId="72" priority="20">
      <formula>LEN(TRIM(B7))=0</formula>
    </cfRule>
  </conditionalFormatting>
  <conditionalFormatting sqref="B9:D9">
    <cfRule type="containsBlanks" dxfId="71" priority="19">
      <formula>LEN(TRIM(B9))=0</formula>
    </cfRule>
  </conditionalFormatting>
  <conditionalFormatting sqref="B11:D11 B13:D13 B15:D15">
    <cfRule type="containsBlanks" dxfId="70" priority="18">
      <formula>LEN(TRIM(B11))=0</formula>
    </cfRule>
  </conditionalFormatting>
  <conditionalFormatting sqref="B17:D17">
    <cfRule type="containsBlanks" dxfId="69" priority="16">
      <formula>LEN(TRIM(B17))=0</formula>
    </cfRule>
  </conditionalFormatting>
  <conditionalFormatting sqref="B19:D19">
    <cfRule type="containsBlanks" dxfId="68" priority="15">
      <formula>LEN(TRIM(B19))=0</formula>
    </cfRule>
  </conditionalFormatting>
  <conditionalFormatting sqref="B39:D39">
    <cfRule type="containsBlanks" dxfId="67" priority="17">
      <formula>LEN(TRIM(B39))=0</formula>
    </cfRule>
  </conditionalFormatting>
  <conditionalFormatting sqref="B41:D41 D49">
    <cfRule type="containsBlanks" dxfId="66" priority="23">
      <formula>LEN(TRIM(B41))=0</formula>
    </cfRule>
  </conditionalFormatting>
  <conditionalFormatting sqref="B45:D45">
    <cfRule type="containsBlanks" dxfId="65" priority="14">
      <formula>LEN(TRIM(B45))=0</formula>
    </cfRule>
  </conditionalFormatting>
  <conditionalFormatting sqref="B53:D53">
    <cfRule type="containsBlanks" dxfId="64" priority="2">
      <formula>LEN(TRIM(B53))=0</formula>
    </cfRule>
  </conditionalFormatting>
  <conditionalFormatting sqref="B57:D57">
    <cfRule type="containsBlanks" dxfId="63" priority="6">
      <formula>LEN(TRIM(B57))=0</formula>
    </cfRule>
  </conditionalFormatting>
  <conditionalFormatting sqref="B59:D59">
    <cfRule type="containsBlanks" dxfId="62" priority="5">
      <formula>LEN(TRIM(B59))=0</formula>
    </cfRule>
  </conditionalFormatting>
  <conditionalFormatting sqref="B61:D61">
    <cfRule type="containsBlanks" dxfId="61" priority="7">
      <formula>LEN(TRIM(B61))=0</formula>
    </cfRule>
  </conditionalFormatting>
  <conditionalFormatting sqref="B63:D63">
    <cfRule type="containsBlanks" dxfId="60" priority="4">
      <formula>LEN(TRIM(B63))=0</formula>
    </cfRule>
  </conditionalFormatting>
  <conditionalFormatting sqref="B65:D65 B67:D67">
    <cfRule type="containsBlanks" dxfId="59" priority="12">
      <formula>LEN(TRIM(B65))=0</formula>
    </cfRule>
  </conditionalFormatting>
  <conditionalFormatting sqref="B69:D69">
    <cfRule type="containsBlanks" dxfId="58" priority="1">
      <formula>LEN(TRIM(B69))=0</formula>
    </cfRule>
  </conditionalFormatting>
  <conditionalFormatting sqref="B75:D75">
    <cfRule type="containsBlanks" dxfId="57" priority="3">
      <formula>LEN(TRIM(B75))=0</formula>
    </cfRule>
  </conditionalFormatting>
  <conditionalFormatting sqref="C21:D21 C23:D23 C25:D25 C27:D27 C29:D29 B31:D31 C33:D33 C35:D35 B37:D37 B43 D43">
    <cfRule type="containsBlanks" dxfId="56" priority="25">
      <formula>LEN(TRIM(B21))=0</formula>
    </cfRule>
  </conditionalFormatting>
  <conditionalFormatting sqref="D51">
    <cfRule type="containsBlanks" dxfId="55" priority="8">
      <formula>LEN(TRIM(D51))=0</formula>
    </cfRule>
  </conditionalFormatting>
  <conditionalFormatting sqref="D71">
    <cfRule type="containsBlanks" dxfId="54" priority="11">
      <formula>LEN(TRIM(D71))=0</formula>
    </cfRule>
  </conditionalFormatting>
  <conditionalFormatting sqref="D73">
    <cfRule type="containsBlanks" dxfId="53" priority="10">
      <formula>LEN(TRIM(D73))=0</formula>
    </cfRule>
  </conditionalFormatting>
  <conditionalFormatting sqref="G5 G7 G9 G11 G13 G15 G17 G19 G21 G23 G25 G27 G29 G31 G33 G35 G37 G39">
    <cfRule type="containsBlanks" dxfId="52" priority="22">
      <formula>LEN(TRIM(G5))=0</formula>
    </cfRule>
  </conditionalFormatting>
  <conditionalFormatting sqref="G41 G43 G45 G49 G53 G55 G57 G59">
    <cfRule type="containsBlanks" dxfId="51" priority="24">
      <formula>LEN(TRIM(G41))=0</formula>
    </cfRule>
  </conditionalFormatting>
  <conditionalFormatting sqref="G47">
    <cfRule type="containsBlanks" dxfId="50" priority="13">
      <formula>LEN(TRIM(G47))=0</formula>
    </cfRule>
  </conditionalFormatting>
  <conditionalFormatting sqref="G51">
    <cfRule type="containsBlanks" dxfId="49" priority="9">
      <formula>LEN(TRIM(G51))=0</formula>
    </cfRule>
  </conditionalFormatting>
  <conditionalFormatting sqref="P5:P76">
    <cfRule type="dataBar" priority="27">
      <dataBar>
        <cfvo type="min"/>
        <cfvo type="max"/>
        <color rgb="FFC2D2E8"/>
      </dataBar>
      <extLst>
        <ext xmlns:x14="http://schemas.microsoft.com/office/spreadsheetml/2009/9/main" uri="{B025F937-C7B1-47D3-B67F-A62EFF666E3E}">
          <x14:id>{2F59B7D1-23AC-4B94-93D9-8C29A3249160}</x14:id>
        </ext>
      </extLst>
    </cfRule>
  </conditionalFormatting>
  <hyperlinks>
    <hyperlink ref="V25" r:id="rId1" display="https://elmolinoverde.com/productos/semilla-de-cilantro-natural/" xr:uid="{0FE3BAB6-53CD-4DFF-B243-8567675A70D6}"/>
    <hyperlink ref="V26" r:id="rId2" xr:uid="{71B3F3C9-218E-4204-88A3-E968FA38DA76}"/>
    <hyperlink ref="V47" r:id="rId3" display="https://www.casaferretera.com/malla_plast-super-1mt_12x12mm_negrarollo_x_30_mts/p?srsltid=AfmBOor9lg4PmpaOzQFoC65w0NfC6ZnBqpHUvh87QslUuD7Z_uC1oKIx" xr:uid="{80BC7200-026A-47AA-B9EB-ABC497CC5CB9}"/>
    <hyperlink ref="V49" r:id="rId4" xr:uid="{C72593F5-3B57-47AD-A1F9-FBD07C8E6D83}"/>
    <hyperlink ref="V50" r:id="rId5" xr:uid="{313B63EB-4345-48BA-9155-AA321F0D8175}"/>
    <hyperlink ref="V52" r:id="rId6" xr:uid="{9BFBC9BB-669A-4C3D-A71A-04E0DA3C1BA3}"/>
    <hyperlink ref="V51" r:id="rId7" xr:uid="{A7F7098A-C57D-487C-A288-8096DD12D715}"/>
    <hyperlink ref="V53" r:id="rId8" xr:uid="{B43AC4B1-1F09-4328-8277-D8F94A9EF180}"/>
    <hyperlink ref="V55" r:id="rId9" xr:uid="{DF8E37A7-65CA-4FB7-991B-9DB473E61406}"/>
    <hyperlink ref="V57" r:id="rId10" xr:uid="{1EDC2E9B-E9C8-4DE0-9060-67A0537057F1}"/>
    <hyperlink ref="V59" r:id="rId11" xr:uid="{0FF6D5DC-792F-42E6-83BC-EDD0F28466C8}"/>
    <hyperlink ref="V74" r:id="rId12" display="https://www.mercadolibre.com.co/jardinera-tipo-jaula-de-cama-de-jardin-elevada-con-enrejado/p/MCO2057100620?matt_tool=19390127&amp;utm_source=google_shopping&amp;utm_medium=organic&amp;pdp_filters=item_id%3AMCO3434677170&amp;from=gshop " xr:uid="{38C6B6D7-3F1D-4C54-8C9D-DA45ADEC0642}"/>
    <hyperlink ref="V68" r:id="rId13" display="https://www.mercadolibre.com.co/fumigadora-manual-20-litros-royal-condor-la-activa-color-blanco/p/MCO22722399" xr:uid="{7C99C804-69FC-489A-BFD9-C44FA22FDAA9}"/>
    <hyperlink ref="V70" r:id="rId14" xr:uid="{5883A385-2A30-4849-B448-A45493AB8A70}"/>
    <hyperlink ref="V62" r:id="rId15" location="polycard_client=search-desktop&amp;search_layout=grid&amp;position=6&amp;type=product&amp;tracking_id=c9b78a58-0199-4344-b230-61e5bb85d660&amp;wid=MCO1298407475&amp;sid=search" display="https://www.mercadolibre.com.co/kit-12-suculentas-variedades-comunes-recordatorios/up/MCOU2410168066#polycard_client=search-desktop&amp;search_layout=grid&amp;position=6&amp;type=product&amp;tracking_id=c9b78a58-0199-4344-b230-61e5bb85d660&amp;wid=MCO1298407475&amp;sid=search" xr:uid="{7EECB0B1-3009-4E39-BAA7-7EDA0F601673}"/>
    <hyperlink ref="V14" r:id="rId16" xr:uid="{7FA9BAAE-944A-4C76-A74E-3E5AD5A7DD83}"/>
    <hyperlink ref="V16" r:id="rId17" location="polycard_client=search-desktop&amp;search_layout=grid&amp;position=48&amp;type=product&amp;tracking_id=9641d15c-9aac-43a6-96be-3ef900ec11f8&amp;wid=MCO2236160152&amp;sid=search" display="https://www.mercadolibre.com.co/bolsas-con-cierre-hermetico-transparente-100-uds-8x10cm/up/MCOU2420080571#polycard_client=search-desktop&amp;search_layout=grid&amp;position=48&amp;type=product&amp;tracking_id=9641d15c-9aac-43a6-96be-3ef900ec11f8&amp;wid=MCO2236160152&amp;sid=search" xr:uid="{F613A7F2-EE4B-47EA-8580-5A10299B58C0}"/>
    <hyperlink ref="V45" r:id="rId18" xr:uid="{D7EEDD0D-654C-46A6-A35E-BB6FD4F6D70E}"/>
    <hyperlink ref="V75" r:id="rId19" display="https://www.homecenter.com.co/homecenter-co/product/158144/bolsa-para-vivero-15x20cm-100-unidades/158144/?kid=dis_adi_1435635&amp;gad_source=1&amp;gad_campaignid=23611073922&amp;gbraid=0AAAAADt6wnoK_kLUKP8Z31VMPGE4XbSuP&amp;gclid=EAIaIQobChMIs4nj_YzdkwMV_K5aBR147xRrEAQYASABEgLJU_D_BwE" xr:uid="{68074DED-25A5-47E5-A7AC-6BA59B0C5C4E}"/>
  </hyperlinks>
  <pageMargins left="0.7" right="0.7" top="0.75" bottom="0.75" header="0.3" footer="0.3"/>
  <legacyDrawing r:id="rId20"/>
  <extLst>
    <ext xmlns:x14="http://schemas.microsoft.com/office/spreadsheetml/2009/9/main" uri="{78C0D931-6437-407d-A8EE-F0AAD7539E65}">
      <x14:conditionalFormattings>
        <x14:conditionalFormatting xmlns:xm="http://schemas.microsoft.com/office/excel/2006/main">
          <x14:cfRule type="dataBar" id="{2F59B7D1-23AC-4B94-93D9-8C29A3249160}">
            <x14:dataBar minLength="0" maxLength="100" gradient="0">
              <x14:cfvo type="autoMin"/>
              <x14:cfvo type="autoMax"/>
              <x14:negativeFillColor rgb="FFFF0000"/>
              <x14:axisColor rgb="FF000000"/>
            </x14:dataBar>
          </x14:cfRule>
          <xm:sqref>P5:P76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285B1-40EC-42D8-886F-B0A0DAC682AF}">
  <dimension ref="A1:W26"/>
  <sheetViews>
    <sheetView zoomScale="60" zoomScaleNormal="60" workbookViewId="0">
      <pane xSplit="3" ySplit="4" topLeftCell="D5" activePane="bottomRight" state="frozen"/>
      <selection pane="topRight" activeCell="D1" sqref="D1"/>
      <selection pane="bottomLeft" activeCell="A5" sqref="A5"/>
      <selection pane="bottomRight" activeCell="U11" sqref="U11:U12"/>
    </sheetView>
  </sheetViews>
  <sheetFormatPr baseColWidth="10" defaultColWidth="11.44140625" defaultRowHeight="14.4" outlineLevelCol="1" x14ac:dyDescent="0.3"/>
  <cols>
    <col min="1" max="1" width="7.44140625" style="2" customWidth="1"/>
    <col min="2" max="2" width="12" style="2" customWidth="1"/>
    <col min="3" max="3" width="14.44140625" style="2" customWidth="1"/>
    <col min="4" max="4" width="111.88671875" style="2" customWidth="1"/>
    <col min="5" max="5" width="12.33203125" style="2" customWidth="1"/>
    <col min="6" max="6" width="12.5546875" style="2" customWidth="1"/>
    <col min="7" max="7" width="15.5546875" style="2" customWidth="1"/>
    <col min="8" max="8" width="22.6640625" style="2" customWidth="1" outlineLevel="1"/>
    <col min="9" max="9" width="16.6640625" style="1" customWidth="1" outlineLevel="1"/>
    <col min="10" max="10" width="11.44140625" style="2" customWidth="1" outlineLevel="1"/>
    <col min="11" max="11" width="15.6640625" style="1" customWidth="1" outlineLevel="1"/>
    <col min="12" max="12" width="15.88671875" style="3" customWidth="1" outlineLevel="1"/>
    <col min="13" max="15" width="15.88671875" style="4" customWidth="1"/>
    <col min="16" max="16" width="17.88671875" style="3" customWidth="1"/>
    <col min="17" max="17" width="17.88671875" style="4" customWidth="1"/>
    <col min="18" max="18" width="17.88671875" style="3" customWidth="1"/>
    <col min="19" max="19" width="17" style="2" customWidth="1"/>
    <col min="20" max="20" width="16.88671875" style="2" customWidth="1"/>
    <col min="21" max="21" width="19.88671875" style="2" customWidth="1"/>
    <col min="22" max="22" width="68.88671875" style="2" customWidth="1"/>
    <col min="23" max="16384" width="11.44140625" style="2"/>
  </cols>
  <sheetData>
    <row r="1" spans="1:23" ht="20.25" customHeight="1" x14ac:dyDescent="0.3">
      <c r="A1" s="674" t="s">
        <v>642</v>
      </c>
      <c r="B1" s="674"/>
      <c r="C1" s="675" t="s">
        <v>777</v>
      </c>
      <c r="D1" s="675"/>
      <c r="E1" s="675"/>
      <c r="F1" s="675"/>
      <c r="G1" s="675"/>
      <c r="H1" s="591" t="s">
        <v>644</v>
      </c>
      <c r="I1" s="591"/>
      <c r="J1" s="591"/>
      <c r="K1" s="591"/>
      <c r="L1" s="591"/>
      <c r="M1" s="676" t="s">
        <v>645</v>
      </c>
      <c r="N1" s="676"/>
      <c r="O1" s="676"/>
      <c r="P1" s="676"/>
      <c r="Q1" s="676"/>
      <c r="R1" s="676"/>
      <c r="S1" s="676"/>
      <c r="T1" s="676"/>
      <c r="U1" s="677" t="s">
        <v>778</v>
      </c>
      <c r="V1" s="673">
        <f>SUM(U5:U20)</f>
        <v>453364.10527777782</v>
      </c>
    </row>
    <row r="2" spans="1:23" ht="19.5" customHeight="1" x14ac:dyDescent="0.3">
      <c r="A2" s="674"/>
      <c r="B2" s="674"/>
      <c r="C2" s="675"/>
      <c r="D2" s="675"/>
      <c r="E2" s="675"/>
      <c r="F2" s="675"/>
      <c r="G2" s="675"/>
      <c r="H2" s="591"/>
      <c r="I2" s="591"/>
      <c r="J2" s="591"/>
      <c r="K2" s="591"/>
      <c r="L2" s="591"/>
      <c r="M2" s="676"/>
      <c r="N2" s="676"/>
      <c r="O2" s="676"/>
      <c r="P2" s="676"/>
      <c r="Q2" s="676"/>
      <c r="R2" s="676"/>
      <c r="S2" s="676"/>
      <c r="T2" s="676"/>
      <c r="U2" s="677"/>
      <c r="V2" s="673"/>
    </row>
    <row r="3" spans="1:23" ht="15" customHeight="1" x14ac:dyDescent="0.3">
      <c r="A3" s="622" t="s">
        <v>779</v>
      </c>
      <c r="B3" s="622" t="s">
        <v>4</v>
      </c>
      <c r="C3" s="622" t="s">
        <v>5</v>
      </c>
      <c r="D3" s="622" t="s">
        <v>6</v>
      </c>
      <c r="E3" s="578" t="s">
        <v>648</v>
      </c>
      <c r="F3" s="578" t="s">
        <v>780</v>
      </c>
      <c r="G3" s="579" t="s">
        <v>9</v>
      </c>
      <c r="H3" s="622" t="s">
        <v>10</v>
      </c>
      <c r="I3" s="671" t="s">
        <v>11</v>
      </c>
      <c r="J3" s="672" t="s">
        <v>12</v>
      </c>
      <c r="K3" s="569" t="s">
        <v>650</v>
      </c>
      <c r="L3" s="579" t="s">
        <v>651</v>
      </c>
      <c r="M3" s="683" t="s">
        <v>15</v>
      </c>
      <c r="N3" s="682" t="s">
        <v>781</v>
      </c>
      <c r="O3" s="684" t="s">
        <v>17</v>
      </c>
      <c r="P3" s="681" t="s">
        <v>18</v>
      </c>
      <c r="Q3" s="682" t="s">
        <v>19</v>
      </c>
      <c r="R3" s="681" t="s">
        <v>782</v>
      </c>
      <c r="S3" s="678" t="s">
        <v>21</v>
      </c>
      <c r="T3" s="679" t="s">
        <v>22</v>
      </c>
      <c r="U3" s="680" t="s">
        <v>23</v>
      </c>
      <c r="V3" s="679" t="s">
        <v>652</v>
      </c>
    </row>
    <row r="4" spans="1:23" ht="69" customHeight="1" x14ac:dyDescent="0.3">
      <c r="A4" s="622"/>
      <c r="B4" s="622"/>
      <c r="C4" s="622"/>
      <c r="D4" s="622"/>
      <c r="E4" s="578"/>
      <c r="F4" s="578"/>
      <c r="G4" s="579"/>
      <c r="H4" s="622"/>
      <c r="I4" s="671"/>
      <c r="J4" s="672"/>
      <c r="K4" s="569"/>
      <c r="L4" s="579"/>
      <c r="M4" s="683"/>
      <c r="N4" s="682"/>
      <c r="O4" s="684"/>
      <c r="P4" s="681"/>
      <c r="Q4" s="682"/>
      <c r="R4" s="681"/>
      <c r="S4" s="678"/>
      <c r="T4" s="679"/>
      <c r="U4" s="680"/>
      <c r="V4" s="679"/>
    </row>
    <row r="5" spans="1:23" ht="117.6" customHeight="1" x14ac:dyDescent="0.3">
      <c r="A5" s="496">
        <v>1</v>
      </c>
      <c r="B5" s="557">
        <v>46191625</v>
      </c>
      <c r="C5" s="642" t="s">
        <v>783</v>
      </c>
      <c r="D5" s="670" t="s">
        <v>1985</v>
      </c>
      <c r="E5" s="669" t="s">
        <v>570</v>
      </c>
      <c r="F5" s="669" t="s">
        <v>79</v>
      </c>
      <c r="G5" s="20">
        <v>1</v>
      </c>
      <c r="H5" s="55" t="s">
        <v>657</v>
      </c>
      <c r="I5" s="56">
        <f>IFERROR(K11/((100+J11)/100),"")</f>
        <v>68147.899159663866</v>
      </c>
      <c r="J5" s="33">
        <f>IF(K11="","",(K11-(K11/1.19))/(K11/1.19)*100)</f>
        <v>19</v>
      </c>
      <c r="K5" s="157">
        <v>20691</v>
      </c>
      <c r="L5" s="57">
        <f>G5*K5</f>
        <v>20691</v>
      </c>
      <c r="M5" s="542">
        <f>IFERROR(AVERAGE(L5:L6),"")</f>
        <v>20821.5</v>
      </c>
      <c r="N5" s="542">
        <f>IFERROR(HARMEAN(L5:L6),"")</f>
        <v>20820.682083423384</v>
      </c>
      <c r="O5" s="542">
        <f>IFERROR(MEDIAN(L5:L6),"")</f>
        <v>20821.5</v>
      </c>
      <c r="P5" s="25">
        <f t="shared" ref="P5:P20" si="0">IF(L5="","",L5)</f>
        <v>20691</v>
      </c>
      <c r="Q5" s="544">
        <f>IFERROR(SUM(P5:P6)/COUNTA(K5:K6),"")</f>
        <v>20821.5</v>
      </c>
      <c r="R5" s="542">
        <f>IFERROR(_xlfn.STDEV.S(L5:L6),"")</f>
        <v>184.55486988968892</v>
      </c>
      <c r="S5" s="545">
        <f>IFERROR(R5/M5,"")</f>
        <v>8.8636683183098679E-3</v>
      </c>
      <c r="T5" s="625" t="s">
        <v>784</v>
      </c>
      <c r="U5" s="540">
        <f>M5</f>
        <v>20821.5</v>
      </c>
      <c r="V5" s="58" t="s">
        <v>785</v>
      </c>
      <c r="W5" s="59"/>
    </row>
    <row r="6" spans="1:23" ht="111.6" customHeight="1" x14ac:dyDescent="0.3">
      <c r="A6" s="496"/>
      <c r="B6" s="557"/>
      <c r="C6" s="642"/>
      <c r="D6" s="666"/>
      <c r="E6" s="669"/>
      <c r="F6" s="669"/>
      <c r="G6" s="20">
        <v>1</v>
      </c>
      <c r="H6" s="21" t="s">
        <v>786</v>
      </c>
      <c r="I6" s="56">
        <f>IFERROR(K12/((100+J12)/100),"")</f>
        <v>77073.109243697487</v>
      </c>
      <c r="J6" s="33">
        <v>19</v>
      </c>
      <c r="K6" s="157">
        <v>20952</v>
      </c>
      <c r="L6" s="57">
        <f>K6*G6</f>
        <v>20952</v>
      </c>
      <c r="M6" s="542"/>
      <c r="N6" s="542"/>
      <c r="O6" s="542"/>
      <c r="P6" s="25">
        <f t="shared" si="0"/>
        <v>20952</v>
      </c>
      <c r="Q6" s="544"/>
      <c r="R6" s="542"/>
      <c r="S6" s="545"/>
      <c r="T6" s="625"/>
      <c r="U6" s="540"/>
      <c r="V6" s="60" t="s">
        <v>787</v>
      </c>
    </row>
    <row r="7" spans="1:23" ht="64.5" customHeight="1" x14ac:dyDescent="0.3">
      <c r="A7" s="496">
        <v>2</v>
      </c>
      <c r="B7" s="557">
        <v>46191625</v>
      </c>
      <c r="C7" s="642" t="s">
        <v>783</v>
      </c>
      <c r="D7" s="670" t="s">
        <v>788</v>
      </c>
      <c r="E7" s="669" t="s">
        <v>570</v>
      </c>
      <c r="F7" s="669" t="s">
        <v>79</v>
      </c>
      <c r="G7" s="20">
        <v>1</v>
      </c>
      <c r="H7" s="61" t="s">
        <v>657</v>
      </c>
      <c r="I7" s="56">
        <f>IFERROR(K7/((100+J7)/100),"")</f>
        <v>166657.98319327732</v>
      </c>
      <c r="J7" s="33">
        <v>19</v>
      </c>
      <c r="K7" s="157">
        <v>198323</v>
      </c>
      <c r="L7" s="57">
        <f>K7*G7</f>
        <v>198323</v>
      </c>
      <c r="M7" s="542">
        <f>IFERROR(AVERAGE(L7:L8),"")</f>
        <v>231377.5</v>
      </c>
      <c r="N7" s="542">
        <f>IFERROR(HARMEAN(L7:L8),"")</f>
        <v>226655.34693736426</v>
      </c>
      <c r="O7" s="542">
        <f>IFERROR(MEDIAN(L7:L8),"")</f>
        <v>231377.5</v>
      </c>
      <c r="P7" s="25">
        <f t="shared" si="0"/>
        <v>198323</v>
      </c>
      <c r="Q7" s="544">
        <f>IFERROR(SUM(P7:P8)/COUNTA(K7:K8),"")</f>
        <v>231377.5</v>
      </c>
      <c r="R7" s="542">
        <f>IFERROR(_xlfn.STDEV.S(L7:L8),"")</f>
        <v>46746.122197461467</v>
      </c>
      <c r="S7" s="545">
        <f>IFERROR(R7/M7,"")</f>
        <v>0.20203400156653722</v>
      </c>
      <c r="T7" s="625" t="s">
        <v>784</v>
      </c>
      <c r="U7" s="540">
        <f>M7</f>
        <v>231377.5</v>
      </c>
      <c r="V7" s="58" t="s">
        <v>785</v>
      </c>
    </row>
    <row r="8" spans="1:23" ht="180" customHeight="1" x14ac:dyDescent="0.3">
      <c r="A8" s="496"/>
      <c r="B8" s="557"/>
      <c r="C8" s="642"/>
      <c r="D8" s="666"/>
      <c r="E8" s="669"/>
      <c r="F8" s="669"/>
      <c r="G8" s="20">
        <v>1</v>
      </c>
      <c r="H8" s="27" t="s">
        <v>789</v>
      </c>
      <c r="I8" s="56">
        <f>IFERROR(K8/((100+J8)/100),"")</f>
        <v>222211.76470588235</v>
      </c>
      <c r="J8" s="33">
        <v>19</v>
      </c>
      <c r="K8" s="157">
        <v>264432</v>
      </c>
      <c r="L8" s="57">
        <f>K8*G8</f>
        <v>264432</v>
      </c>
      <c r="M8" s="542"/>
      <c r="N8" s="542"/>
      <c r="O8" s="542"/>
      <c r="P8" s="25">
        <f t="shared" si="0"/>
        <v>264432</v>
      </c>
      <c r="Q8" s="544"/>
      <c r="R8" s="542"/>
      <c r="S8" s="545"/>
      <c r="T8" s="625"/>
      <c r="U8" s="540"/>
      <c r="V8" s="60" t="s">
        <v>787</v>
      </c>
    </row>
    <row r="9" spans="1:23" ht="141.75" customHeight="1" x14ac:dyDescent="0.3">
      <c r="A9" s="496">
        <v>3</v>
      </c>
      <c r="B9" s="557">
        <v>46191625</v>
      </c>
      <c r="C9" s="642" t="s">
        <v>783</v>
      </c>
      <c r="D9" s="670" t="s">
        <v>790</v>
      </c>
      <c r="E9" s="669" t="s">
        <v>570</v>
      </c>
      <c r="F9" s="669" t="s">
        <v>79</v>
      </c>
      <c r="G9" s="20">
        <v>1</v>
      </c>
      <c r="H9" s="55" t="s">
        <v>657</v>
      </c>
      <c r="I9" s="56">
        <f t="shared" ref="I9:I14" si="1">IFERROR(K9/((100+J9)/100),"")</f>
        <v>16088.235294117649</v>
      </c>
      <c r="J9" s="33">
        <v>19</v>
      </c>
      <c r="K9" s="157">
        <v>19145</v>
      </c>
      <c r="L9" s="57">
        <f t="shared" ref="L9:L10" si="2">K9*G9</f>
        <v>19145</v>
      </c>
      <c r="M9" s="542">
        <f>IFERROR(AVERAGE(L9:L10),"")</f>
        <v>25313</v>
      </c>
      <c r="N9" s="542">
        <f>IFERROR(HARMEAN(L9:L10),"")</f>
        <v>23810.047999051869</v>
      </c>
      <c r="O9" s="542">
        <f>IFERROR(MEDIAN(L9:L10),"")</f>
        <v>25313</v>
      </c>
      <c r="P9" s="25">
        <f t="shared" si="0"/>
        <v>19145</v>
      </c>
      <c r="Q9" s="544">
        <f>IFERROR(SUM(P9:P10)/COUNTA(K9:K10),"")</f>
        <v>25313</v>
      </c>
      <c r="R9" s="542">
        <f>IFERROR(_xlfn.STDEV.S(L9:L10),"")</f>
        <v>8722.8692527172498</v>
      </c>
      <c r="S9" s="545">
        <f>IFERROR(R9/M9,"")</f>
        <v>0.34460037343330502</v>
      </c>
      <c r="T9" s="625" t="s">
        <v>784</v>
      </c>
      <c r="U9" s="540">
        <f>M9</f>
        <v>25313</v>
      </c>
      <c r="V9" s="58" t="s">
        <v>785</v>
      </c>
    </row>
    <row r="10" spans="1:23" ht="78.75" customHeight="1" x14ac:dyDescent="0.3">
      <c r="A10" s="496"/>
      <c r="B10" s="557"/>
      <c r="C10" s="642"/>
      <c r="D10" s="666"/>
      <c r="E10" s="669"/>
      <c r="F10" s="669"/>
      <c r="G10" s="20">
        <v>1</v>
      </c>
      <c r="H10" s="21" t="s">
        <v>786</v>
      </c>
      <c r="I10" s="56">
        <f t="shared" si="1"/>
        <v>26454.621848739498</v>
      </c>
      <c r="J10" s="33">
        <v>19</v>
      </c>
      <c r="K10" s="157">
        <v>31481</v>
      </c>
      <c r="L10" s="57">
        <f t="shared" si="2"/>
        <v>31481</v>
      </c>
      <c r="M10" s="542"/>
      <c r="N10" s="542"/>
      <c r="O10" s="542"/>
      <c r="P10" s="25">
        <f t="shared" si="0"/>
        <v>31481</v>
      </c>
      <c r="Q10" s="544"/>
      <c r="R10" s="542"/>
      <c r="S10" s="545"/>
      <c r="T10" s="625"/>
      <c r="U10" s="540"/>
      <c r="V10" s="60" t="s">
        <v>787</v>
      </c>
    </row>
    <row r="11" spans="1:23" ht="69.75" customHeight="1" x14ac:dyDescent="0.3">
      <c r="A11" s="496">
        <v>4</v>
      </c>
      <c r="B11" s="667">
        <v>46181505</v>
      </c>
      <c r="C11" s="627" t="s">
        <v>791</v>
      </c>
      <c r="D11" s="629" t="s">
        <v>792</v>
      </c>
      <c r="E11" s="669" t="s">
        <v>793</v>
      </c>
      <c r="F11" s="669" t="s">
        <v>793</v>
      </c>
      <c r="G11" s="20">
        <v>1</v>
      </c>
      <c r="H11" s="55" t="s">
        <v>794</v>
      </c>
      <c r="I11" s="56">
        <f t="shared" si="1"/>
        <v>68147.899159663866</v>
      </c>
      <c r="J11" s="33">
        <f>IF(K11="","",(K11-(K11/1.19))/(K11/1.19)*100)</f>
        <v>19</v>
      </c>
      <c r="K11" s="157">
        <v>81096</v>
      </c>
      <c r="L11" s="57">
        <f>K11*G11</f>
        <v>81096</v>
      </c>
      <c r="M11" s="542">
        <f t="shared" ref="M11" si="3">IFERROR(AVERAGE(L11:L12),"")</f>
        <v>84223</v>
      </c>
      <c r="N11" s="542">
        <f>IFERROR(HARMEAN(L11:L12),"")</f>
        <v>84106.901915153809</v>
      </c>
      <c r="O11" s="542">
        <f>IFERROR(MEDIAN(L11:L12),"")</f>
        <v>84223</v>
      </c>
      <c r="P11" s="25">
        <f t="shared" si="0"/>
        <v>81096</v>
      </c>
      <c r="Q11" s="544">
        <f>IFERROR(SUM(P11:P12)/COUNTA(K11:K12),"")</f>
        <v>84223</v>
      </c>
      <c r="R11" s="542">
        <f>IFERROR(_xlfn.STDEV.S(L11:L12),"")</f>
        <v>4422.2458095406682</v>
      </c>
      <c r="S11" s="545">
        <f>IFERROR(R11/M11,"")</f>
        <v>5.2506391479057599E-2</v>
      </c>
      <c r="T11" s="625" t="s">
        <v>784</v>
      </c>
      <c r="U11" s="540">
        <f>M11</f>
        <v>84223</v>
      </c>
      <c r="V11" s="58" t="s">
        <v>795</v>
      </c>
    </row>
    <row r="12" spans="1:23" ht="48.75" customHeight="1" x14ac:dyDescent="0.3">
      <c r="A12" s="496"/>
      <c r="B12" s="667"/>
      <c r="C12" s="627"/>
      <c r="D12" s="629"/>
      <c r="E12" s="669"/>
      <c r="F12" s="669"/>
      <c r="G12" s="20">
        <v>1</v>
      </c>
      <c r="H12" s="48" t="s">
        <v>796</v>
      </c>
      <c r="I12" s="56">
        <f t="shared" si="1"/>
        <v>77073.109243697487</v>
      </c>
      <c r="J12" s="33">
        <f>IF(K12="","",(K12-(K12/1.19))/(K12/1.19)*100)</f>
        <v>18.999999999999989</v>
      </c>
      <c r="K12" s="157">
        <v>91717</v>
      </c>
      <c r="L12" s="57">
        <v>87350</v>
      </c>
      <c r="M12" s="542"/>
      <c r="N12" s="542"/>
      <c r="O12" s="542"/>
      <c r="P12" s="25">
        <f t="shared" si="0"/>
        <v>87350</v>
      </c>
      <c r="Q12" s="544"/>
      <c r="R12" s="542"/>
      <c r="S12" s="545"/>
      <c r="T12" s="625"/>
      <c r="U12" s="540"/>
      <c r="V12" s="156" t="s">
        <v>1984</v>
      </c>
    </row>
    <row r="13" spans="1:23" ht="55.5" customHeight="1" x14ac:dyDescent="0.3">
      <c r="A13" s="496">
        <v>5</v>
      </c>
      <c r="B13" s="667">
        <v>42251610</v>
      </c>
      <c r="C13" s="642" t="s">
        <v>797</v>
      </c>
      <c r="D13" s="642" t="s">
        <v>798</v>
      </c>
      <c r="E13" s="669" t="s">
        <v>570</v>
      </c>
      <c r="F13" s="669" t="s">
        <v>570</v>
      </c>
      <c r="G13" s="20">
        <v>1</v>
      </c>
      <c r="H13" s="55" t="s">
        <v>799</v>
      </c>
      <c r="I13" s="56">
        <f t="shared" si="1"/>
        <v>7245</v>
      </c>
      <c r="J13" s="33">
        <f t="shared" ref="J13" si="4">IF(K13="","",(K13-(K13/1.19))/(K13/1.19)*100)</f>
        <v>18.999999999999989</v>
      </c>
      <c r="K13" s="157">
        <v>8621.5499999999993</v>
      </c>
      <c r="L13" s="57">
        <f t="shared" ref="L13:L20" si="5">K13*G13</f>
        <v>8621.5499999999993</v>
      </c>
      <c r="M13" s="542">
        <f t="shared" ref="M13" si="6">IFERROR(AVERAGE(L13:L14),"")</f>
        <v>7187.7487499999997</v>
      </c>
      <c r="N13" s="542">
        <f>IFERROR(HARMEAN(L13:L14),"")</f>
        <v>6901.7362451108211</v>
      </c>
      <c r="O13" s="542">
        <f>IFERROR(MEDIAN(L13:L14),"")</f>
        <v>7187.7487499999997</v>
      </c>
      <c r="P13" s="25">
        <f t="shared" si="0"/>
        <v>8621.5499999999993</v>
      </c>
      <c r="Q13" s="544">
        <f>IFERROR(SUM(P13:P14)/COUNTA(K13:K14),"")</f>
        <v>7187.7487499999997</v>
      </c>
      <c r="R13" s="542">
        <f>IFERROR(_xlfn.STDEV.S(L13:L14),"")</f>
        <v>2027.7011734974965</v>
      </c>
      <c r="S13" s="545">
        <f>IFERROR(R13/M13,"")</f>
        <v>0.28210518258550654</v>
      </c>
      <c r="T13" s="625" t="s">
        <v>784</v>
      </c>
      <c r="U13" s="540">
        <f>M13+200</f>
        <v>7387.7487499999997</v>
      </c>
      <c r="V13" s="63" t="s">
        <v>800</v>
      </c>
    </row>
    <row r="14" spans="1:23" ht="55.5" customHeight="1" x14ac:dyDescent="0.3">
      <c r="A14" s="496"/>
      <c r="B14" s="667"/>
      <c r="C14" s="627"/>
      <c r="D14" s="642"/>
      <c r="E14" s="669"/>
      <c r="F14" s="669"/>
      <c r="G14" s="20">
        <v>1</v>
      </c>
      <c r="H14" s="48" t="s">
        <v>801</v>
      </c>
      <c r="I14" s="56">
        <f t="shared" si="1"/>
        <v>4835.25</v>
      </c>
      <c r="J14" s="64">
        <f>IF(K14="","",(K14-(K14/1.19))/(K14/1.19)*100)</f>
        <v>19.000000000000007</v>
      </c>
      <c r="K14" s="157">
        <v>5753.9475000000002</v>
      </c>
      <c r="L14" s="57">
        <f t="shared" si="5"/>
        <v>5753.9475000000002</v>
      </c>
      <c r="M14" s="542"/>
      <c r="N14" s="542"/>
      <c r="O14" s="542"/>
      <c r="P14" s="25">
        <f t="shared" si="0"/>
        <v>5753.9475000000002</v>
      </c>
      <c r="Q14" s="544"/>
      <c r="R14" s="542"/>
      <c r="S14" s="545"/>
      <c r="T14" s="625"/>
      <c r="U14" s="540"/>
      <c r="V14" s="65" t="s">
        <v>802</v>
      </c>
    </row>
    <row r="15" spans="1:23" ht="55.5" customHeight="1" x14ac:dyDescent="0.3">
      <c r="A15" s="496">
        <v>6</v>
      </c>
      <c r="B15" s="667">
        <v>27113201</v>
      </c>
      <c r="C15" s="642" t="s">
        <v>803</v>
      </c>
      <c r="D15" s="642" t="s">
        <v>804</v>
      </c>
      <c r="E15" s="668" t="s">
        <v>570</v>
      </c>
      <c r="F15" s="668" t="s">
        <v>570</v>
      </c>
      <c r="G15" s="62">
        <v>1</v>
      </c>
      <c r="H15" s="61" t="s">
        <v>801</v>
      </c>
      <c r="I15" s="56">
        <f>IFERROR(K15/((100+J15)/100),"")</f>
        <v>57234.45378151261</v>
      </c>
      <c r="J15" s="33">
        <f>IF(K15="","",(K15-(K15/1.19))/(K15/1.19)*100)</f>
        <v>18.999999999999993</v>
      </c>
      <c r="K15" s="157">
        <v>68109</v>
      </c>
      <c r="L15" s="57">
        <f t="shared" si="5"/>
        <v>68109</v>
      </c>
      <c r="M15" s="542">
        <f t="shared" ref="M15" si="7">IFERROR(AVERAGE(L15:L16),"")</f>
        <v>65404.5</v>
      </c>
      <c r="N15" s="542">
        <f>IFERROR(HARMEAN(L15:L16),"")</f>
        <v>65292.667935692494</v>
      </c>
      <c r="O15" s="542">
        <f>IFERROR(MEDIAN(L15:L16),"")</f>
        <v>65404.5</v>
      </c>
      <c r="P15" s="25">
        <f t="shared" si="0"/>
        <v>68109</v>
      </c>
      <c r="Q15" s="544">
        <f>IFERROR(SUM(P15:P16)/COUNTA(K15:K16),"")</f>
        <v>65404.5</v>
      </c>
      <c r="R15" s="542">
        <f>IFERROR(_xlfn.STDEV.S(L15:L16),"")</f>
        <v>3824.7405794380356</v>
      </c>
      <c r="S15" s="545">
        <f>IFERROR(R15/M15,"")</f>
        <v>5.8478248124181606E-2</v>
      </c>
      <c r="T15" s="625" t="s">
        <v>784</v>
      </c>
      <c r="U15" s="540">
        <f>M15+2000</f>
        <v>67404.5</v>
      </c>
      <c r="V15" s="58" t="s">
        <v>805</v>
      </c>
    </row>
    <row r="16" spans="1:23" ht="55.5" customHeight="1" x14ac:dyDescent="0.3">
      <c r="A16" s="496"/>
      <c r="B16" s="667"/>
      <c r="C16" s="627"/>
      <c r="D16" s="642"/>
      <c r="E16" s="668"/>
      <c r="F16" s="668"/>
      <c r="G16" s="20">
        <v>1</v>
      </c>
      <c r="H16" s="61" t="s">
        <v>806</v>
      </c>
      <c r="I16" s="56">
        <f>IFERROR(K16/((100+J16)/100),"")</f>
        <v>52689.075630252104</v>
      </c>
      <c r="J16" s="33">
        <f>IF(K16="","",(K16-(K16/1.19))/(K16/1.19)*100)</f>
        <v>18.999999999999993</v>
      </c>
      <c r="K16" s="157">
        <v>62700</v>
      </c>
      <c r="L16" s="57">
        <f t="shared" si="5"/>
        <v>62700</v>
      </c>
      <c r="M16" s="542"/>
      <c r="N16" s="542"/>
      <c r="O16" s="542"/>
      <c r="P16" s="25">
        <f t="shared" si="0"/>
        <v>62700</v>
      </c>
      <c r="Q16" s="544"/>
      <c r="R16" s="542"/>
      <c r="S16" s="545"/>
      <c r="T16" s="625"/>
      <c r="U16" s="540"/>
      <c r="V16" s="63" t="s">
        <v>807</v>
      </c>
    </row>
    <row r="17" spans="1:22" ht="69" customHeight="1" x14ac:dyDescent="0.3">
      <c r="A17" s="496">
        <v>7</v>
      </c>
      <c r="B17" s="667">
        <v>60102910</v>
      </c>
      <c r="C17" s="642" t="s">
        <v>808</v>
      </c>
      <c r="D17" s="642" t="s">
        <v>809</v>
      </c>
      <c r="E17" s="668" t="s">
        <v>570</v>
      </c>
      <c r="F17" s="668" t="s">
        <v>570</v>
      </c>
      <c r="G17" s="20">
        <v>1</v>
      </c>
      <c r="H17" s="55" t="s">
        <v>801</v>
      </c>
      <c r="I17" s="56">
        <f t="shared" ref="I17:I20" si="8">IFERROR(K17/((100+J17)/100),"")</f>
        <v>8012.55</v>
      </c>
      <c r="J17" s="33">
        <f t="shared" ref="J17:J18" si="9">IF(K17="","",(K17-(K17/1.19))/(K17/1.19)*100)</f>
        <v>18.999999999999989</v>
      </c>
      <c r="K17" s="157">
        <v>9534.9344999999994</v>
      </c>
      <c r="L17" s="57">
        <f t="shared" si="5"/>
        <v>9534.9344999999994</v>
      </c>
      <c r="M17" s="542">
        <f>IFERROR(AVERAGE(L17:L18),"")</f>
        <v>11274.86325</v>
      </c>
      <c r="N17" s="542">
        <f>IFERROR(HARMEAN(L17:L18),"")</f>
        <v>11006.35870249903</v>
      </c>
      <c r="O17" s="542">
        <f>IFERROR(MEDIAN(L17:L18),"")</f>
        <v>11274.86325</v>
      </c>
      <c r="P17" s="25">
        <f t="shared" si="0"/>
        <v>9534.9344999999994</v>
      </c>
      <c r="Q17" s="544">
        <f>IFERROR(SUM(P17:P18)/COUNTA(K17:K18),"")</f>
        <v>11274.86325</v>
      </c>
      <c r="R17" s="542">
        <f>IFERROR(_xlfn.STDEV.S(L17:L18),"")</f>
        <v>2460.630835812869</v>
      </c>
      <c r="S17" s="545">
        <f>IFERROR(R17/M17,"")</f>
        <v>0.21824041509442421</v>
      </c>
      <c r="T17" s="625" t="s">
        <v>784</v>
      </c>
      <c r="U17" s="540">
        <f>M17+200</f>
        <v>11474.86325</v>
      </c>
      <c r="V17" s="58" t="s">
        <v>810</v>
      </c>
    </row>
    <row r="18" spans="1:22" ht="55.5" customHeight="1" x14ac:dyDescent="0.3">
      <c r="A18" s="496"/>
      <c r="B18" s="667"/>
      <c r="C18" s="627"/>
      <c r="D18" s="642"/>
      <c r="E18" s="668"/>
      <c r="F18" s="668"/>
      <c r="G18" s="20">
        <v>1</v>
      </c>
      <c r="H18" s="48" t="s">
        <v>799</v>
      </c>
      <c r="I18" s="56">
        <f t="shared" si="8"/>
        <v>10936.800000000001</v>
      </c>
      <c r="J18" s="33">
        <f t="shared" si="9"/>
        <v>19</v>
      </c>
      <c r="K18" s="157">
        <v>13014.792000000001</v>
      </c>
      <c r="L18" s="57">
        <f t="shared" si="5"/>
        <v>13014.792000000001</v>
      </c>
      <c r="M18" s="542"/>
      <c r="N18" s="542"/>
      <c r="O18" s="542"/>
      <c r="P18" s="25">
        <f t="shared" si="0"/>
        <v>13014.792000000001</v>
      </c>
      <c r="Q18" s="544"/>
      <c r="R18" s="542"/>
      <c r="S18" s="545"/>
      <c r="T18" s="625"/>
      <c r="U18" s="540"/>
      <c r="V18" s="58" t="s">
        <v>811</v>
      </c>
    </row>
    <row r="19" spans="1:22" ht="69.75" customHeight="1" x14ac:dyDescent="0.3">
      <c r="A19" s="496">
        <v>8</v>
      </c>
      <c r="B19" s="667">
        <v>52152102</v>
      </c>
      <c r="C19" s="642" t="s">
        <v>812</v>
      </c>
      <c r="D19" s="642" t="s">
        <v>813</v>
      </c>
      <c r="E19" s="668" t="s">
        <v>570</v>
      </c>
      <c r="F19" s="668" t="s">
        <v>570</v>
      </c>
      <c r="G19" s="20">
        <v>1</v>
      </c>
      <c r="H19" s="55" t="s">
        <v>799</v>
      </c>
      <c r="I19" s="56">
        <f t="shared" si="8"/>
        <v>5831.7</v>
      </c>
      <c r="J19" s="33">
        <v>19</v>
      </c>
      <c r="K19" s="157">
        <v>6939.723</v>
      </c>
      <c r="L19" s="57">
        <f t="shared" si="5"/>
        <v>6939.723</v>
      </c>
      <c r="M19" s="542">
        <f>IFERROR(AVERAGE(L19:L20),"")</f>
        <v>6011.9692500000001</v>
      </c>
      <c r="N19" s="542">
        <f>IFERROR(HARMEAN(L19:L20),"")</f>
        <v>5868.8003506183104</v>
      </c>
      <c r="O19" s="542">
        <f>IFERROR(MEDIAN(L19:L20),"")</f>
        <v>6011.9692500000001</v>
      </c>
      <c r="P19" s="25">
        <f t="shared" si="0"/>
        <v>6939.723</v>
      </c>
      <c r="Q19" s="544">
        <f>IFERROR(SUM(P19:P20)/COUNTA(K19:K20),"")</f>
        <v>6011.9692500000001</v>
      </c>
      <c r="R19" s="542">
        <f>IFERROR(_xlfn.STDEV.S(L19:L20),"")</f>
        <v>1312.0419357924975</v>
      </c>
      <c r="S19" s="545">
        <f>IFERROR(R19/M19,"")</f>
        <v>0.21823829784101065</v>
      </c>
      <c r="T19" s="625" t="s">
        <v>814</v>
      </c>
      <c r="U19" s="540">
        <f>L20+277.777777777778</f>
        <v>5361.9932777777776</v>
      </c>
      <c r="V19" s="66" t="s">
        <v>815</v>
      </c>
    </row>
    <row r="20" spans="1:22" ht="83.25" customHeight="1" x14ac:dyDescent="0.3">
      <c r="A20" s="496"/>
      <c r="B20" s="667"/>
      <c r="C20" s="627"/>
      <c r="D20" s="642"/>
      <c r="E20" s="668"/>
      <c r="F20" s="668"/>
      <c r="G20" s="20">
        <v>1</v>
      </c>
      <c r="H20" s="48" t="s">
        <v>801</v>
      </c>
      <c r="I20" s="56">
        <f t="shared" si="8"/>
        <v>4272.45</v>
      </c>
      <c r="J20" s="33">
        <v>19</v>
      </c>
      <c r="K20" s="157">
        <v>5084.2154999999993</v>
      </c>
      <c r="L20" s="57">
        <f t="shared" si="5"/>
        <v>5084.2154999999993</v>
      </c>
      <c r="M20" s="542"/>
      <c r="N20" s="542"/>
      <c r="O20" s="542"/>
      <c r="P20" s="25">
        <f t="shared" si="0"/>
        <v>5084.2154999999993</v>
      </c>
      <c r="Q20" s="544"/>
      <c r="R20" s="542"/>
      <c r="S20" s="545"/>
      <c r="T20" s="625"/>
      <c r="U20" s="540"/>
      <c r="V20" s="66" t="s">
        <v>816</v>
      </c>
    </row>
    <row r="22" spans="1:22" x14ac:dyDescent="0.3">
      <c r="U22" s="902">
        <f>SUM(U5:U20)</f>
        <v>453364.10527777782</v>
      </c>
    </row>
    <row r="24" spans="1:22" x14ac:dyDescent="0.3">
      <c r="S24" s="900"/>
      <c r="T24" s="2">
        <f>10000/50</f>
        <v>200</v>
      </c>
    </row>
    <row r="26" spans="1:22" x14ac:dyDescent="0.3">
      <c r="S26" s="901"/>
    </row>
  </sheetData>
  <mergeCells count="140">
    <mergeCell ref="A3:A4"/>
    <mergeCell ref="B3:B4"/>
    <mergeCell ref="V1:V2"/>
    <mergeCell ref="C3:C4"/>
    <mergeCell ref="D3:D4"/>
    <mergeCell ref="E3:E4"/>
    <mergeCell ref="F3:F4"/>
    <mergeCell ref="A1:B2"/>
    <mergeCell ref="C1:G2"/>
    <mergeCell ref="H1:L2"/>
    <mergeCell ref="M1:T2"/>
    <mergeCell ref="U1:U2"/>
    <mergeCell ref="S3:S4"/>
    <mergeCell ref="T3:T4"/>
    <mergeCell ref="U3:U4"/>
    <mergeCell ref="V3:V4"/>
    <mergeCell ref="P3:P4"/>
    <mergeCell ref="Q3:Q4"/>
    <mergeCell ref="R3:R4"/>
    <mergeCell ref="M3:M4"/>
    <mergeCell ref="N3:N4"/>
    <mergeCell ref="O3:O4"/>
    <mergeCell ref="G3:G4"/>
    <mergeCell ref="H3:H4"/>
    <mergeCell ref="I3:I4"/>
    <mergeCell ref="J3:J4"/>
    <mergeCell ref="K3:K4"/>
    <mergeCell ref="L3:L4"/>
    <mergeCell ref="U7:U8"/>
    <mergeCell ref="T5:T6"/>
    <mergeCell ref="U5:U6"/>
    <mergeCell ref="A7:A8"/>
    <mergeCell ref="B7:B8"/>
    <mergeCell ref="C7:C8"/>
    <mergeCell ref="D7:D8"/>
    <mergeCell ref="E7:E8"/>
    <mergeCell ref="F7:F8"/>
    <mergeCell ref="M7:M8"/>
    <mergeCell ref="N7:N8"/>
    <mergeCell ref="M5:M6"/>
    <mergeCell ref="N5:N6"/>
    <mergeCell ref="O5:O6"/>
    <mergeCell ref="Q5:Q6"/>
    <mergeCell ref="R5:R6"/>
    <mergeCell ref="S5:S6"/>
    <mergeCell ref="A5:A6"/>
    <mergeCell ref="B5:B6"/>
    <mergeCell ref="C5:C6"/>
    <mergeCell ref="D5:D6"/>
    <mergeCell ref="E5:E6"/>
    <mergeCell ref="F5:F6"/>
    <mergeCell ref="C9:C10"/>
    <mergeCell ref="D9:D10"/>
    <mergeCell ref="E9:E10"/>
    <mergeCell ref="F9:F10"/>
    <mergeCell ref="O7:O8"/>
    <mergeCell ref="Q7:Q8"/>
    <mergeCell ref="R7:R8"/>
    <mergeCell ref="S7:S8"/>
    <mergeCell ref="T7:T8"/>
    <mergeCell ref="O11:O12"/>
    <mergeCell ref="Q11:Q12"/>
    <mergeCell ref="R11:R12"/>
    <mergeCell ref="S11:S12"/>
    <mergeCell ref="T11:T12"/>
    <mergeCell ref="U11:U12"/>
    <mergeCell ref="T9:T10"/>
    <mergeCell ref="U9:U10"/>
    <mergeCell ref="O9:O10"/>
    <mergeCell ref="Q9:Q10"/>
    <mergeCell ref="R9:R10"/>
    <mergeCell ref="S9:S10"/>
    <mergeCell ref="A11:A12"/>
    <mergeCell ref="B11:B12"/>
    <mergeCell ref="C11:C12"/>
    <mergeCell ref="D11:D12"/>
    <mergeCell ref="E11:E12"/>
    <mergeCell ref="F11:F12"/>
    <mergeCell ref="M11:M12"/>
    <mergeCell ref="N11:N12"/>
    <mergeCell ref="M9:M10"/>
    <mergeCell ref="N9:N10"/>
    <mergeCell ref="A9:A10"/>
    <mergeCell ref="B9:B10"/>
    <mergeCell ref="U15:U16"/>
    <mergeCell ref="T13:T14"/>
    <mergeCell ref="U13:U14"/>
    <mergeCell ref="A15:A16"/>
    <mergeCell ref="B15:B16"/>
    <mergeCell ref="C15:C16"/>
    <mergeCell ref="D15:D16"/>
    <mergeCell ref="E15:E16"/>
    <mergeCell ref="F15:F16"/>
    <mergeCell ref="M15:M16"/>
    <mergeCell ref="N15:N16"/>
    <mergeCell ref="M13:M14"/>
    <mergeCell ref="N13:N14"/>
    <mergeCell ref="O13:O14"/>
    <mergeCell ref="Q13:Q14"/>
    <mergeCell ref="R13:R14"/>
    <mergeCell ref="S13:S14"/>
    <mergeCell ref="A13:A14"/>
    <mergeCell ref="B13:B14"/>
    <mergeCell ref="C13:C14"/>
    <mergeCell ref="D13:D14"/>
    <mergeCell ref="E13:E14"/>
    <mergeCell ref="F13:F14"/>
    <mergeCell ref="C17:C18"/>
    <mergeCell ref="D17:D18"/>
    <mergeCell ref="E17:E18"/>
    <mergeCell ref="F17:F18"/>
    <mergeCell ref="O15:O16"/>
    <mergeCell ref="Q15:Q16"/>
    <mergeCell ref="R15:R16"/>
    <mergeCell ref="S15:S16"/>
    <mergeCell ref="T15:T16"/>
    <mergeCell ref="O19:O20"/>
    <mergeCell ref="Q19:Q20"/>
    <mergeCell ref="R19:R20"/>
    <mergeCell ref="S19:S20"/>
    <mergeCell ref="T19:T20"/>
    <mergeCell ref="U19:U20"/>
    <mergeCell ref="T17:T18"/>
    <mergeCell ref="U17:U18"/>
    <mergeCell ref="A19:A20"/>
    <mergeCell ref="B19:B20"/>
    <mergeCell ref="C19:C20"/>
    <mergeCell ref="D19:D20"/>
    <mergeCell ref="E19:E20"/>
    <mergeCell ref="F19:F20"/>
    <mergeCell ref="M19:M20"/>
    <mergeCell ref="N19:N20"/>
    <mergeCell ref="M17:M18"/>
    <mergeCell ref="N17:N18"/>
    <mergeCell ref="O17:O18"/>
    <mergeCell ref="Q17:Q18"/>
    <mergeCell ref="R17:R18"/>
    <mergeCell ref="S17:S18"/>
    <mergeCell ref="A17:A18"/>
    <mergeCell ref="B17:B18"/>
  </mergeCells>
  <conditionalFormatting sqref="A5 D5 A9 A11 A13 A17">
    <cfRule type="containsBlanks" dxfId="48" priority="8">
      <formula>LEN(TRIM(A5))=0</formula>
    </cfRule>
  </conditionalFormatting>
  <conditionalFormatting sqref="B7:D7">
    <cfRule type="containsBlanks" dxfId="47" priority="3">
      <formula>LEN(TRIM(B7))=0</formula>
    </cfRule>
  </conditionalFormatting>
  <conditionalFormatting sqref="B9:D9">
    <cfRule type="containsBlanks" dxfId="46" priority="4">
      <formula>LEN(TRIM(B9))=0</formula>
    </cfRule>
  </conditionalFormatting>
  <conditionalFormatting sqref="B11:D11 B13:D13 B15:D15 B17:D17 B19:D19">
    <cfRule type="containsBlanks" dxfId="45" priority="7">
      <formula>LEN(TRIM(B11))=0</formula>
    </cfRule>
  </conditionalFormatting>
  <conditionalFormatting sqref="G5 G7 G9 G11 G13 G15 G17 G19">
    <cfRule type="containsBlanks" dxfId="44" priority="6">
      <formula>LEN(TRIM(G5))=0</formula>
    </cfRule>
  </conditionalFormatting>
  <conditionalFormatting sqref="H5:H20">
    <cfRule type="containsBlanks" dxfId="43" priority="2">
      <formula>LEN(TRIM(H5))=0</formula>
    </cfRule>
  </conditionalFormatting>
  <conditionalFormatting sqref="I5:K20">
    <cfRule type="containsBlanks" dxfId="42" priority="1">
      <formula>LEN(TRIM(I5))=0</formula>
    </cfRule>
  </conditionalFormatting>
  <conditionalFormatting sqref="K5:K11 K13:K20 B5:C5">
    <cfRule type="containsBlanks" dxfId="41" priority="5">
      <formula>LEN(TRIM(B5))=0</formula>
    </cfRule>
  </conditionalFormatting>
  <conditionalFormatting sqref="P5:P20">
    <cfRule type="dataBar" priority="9">
      <dataBar>
        <cfvo type="min"/>
        <cfvo type="max"/>
        <color rgb="FFC2D2E8"/>
      </dataBar>
      <extLst>
        <ext xmlns:x14="http://schemas.microsoft.com/office/spreadsheetml/2009/9/main" uri="{B025F937-C7B1-47D3-B67F-A62EFF666E3E}">
          <x14:id>{BE62FF39-B14B-4EE5-8443-B0386F40CE61}</x14:id>
        </ext>
      </extLst>
    </cfRule>
  </conditionalFormatting>
  <hyperlinks>
    <hyperlink ref="V11" r:id="rId1" xr:uid="{6B510302-491C-41DC-B522-820CAC2C1E80}"/>
    <hyperlink ref="V12" r:id="rId2" xr:uid="{2D293321-0B33-420A-AD03-1C486AF3B351}"/>
    <hyperlink ref="V5" r:id="rId3" display="https://community.secop.gov.co/Public/Tendering/OpportunityDetail/Index?noticeUID=CO1.NTC.8172419&amp;isFromPublicArea=True&amp;isModal=False" xr:uid="{8CD9AB3B-3CA8-438F-A9D7-84B5A6AF9E6A}"/>
    <hyperlink ref="V7" r:id="rId4" display="https://community.secop.gov.co/Public/Tendering/OpportunityDetail/Index?noticeUID=CO1.NTC.8172419&amp;isFromPublicArea=True&amp;isModal=False" xr:uid="{C9D4751C-EADB-49D5-987F-CC5E9865DF74}"/>
    <hyperlink ref="V9" r:id="rId5" display="https://community.secop.gov.co/Public/Tendering/OpportunityDetail/Index?noticeUID=CO1.NTC.8172419&amp;isFromPublicArea=True&amp;isModal=False" xr:uid="{CF41DC12-CE47-4E5C-85D0-7ABF9D5EE3D2}"/>
    <hyperlink ref="V13" r:id="rId6" display="https://markados.com.co/antiestres/" xr:uid="{8C18505E-5D1C-4D4B-910F-E2A7F7F316E9}"/>
    <hyperlink ref="V14" r:id="rId7" display="https://publicitar.com.co/tienda/antiestres/antiestres-antiestres/antiestres-planeta-tierra/?srsltid=AfmBOooyu4MV8WRqZP54GFvI7miQzLODedjc0zUtiiwlTxEB8LNvhhNz" xr:uid="{E6EAB946-8680-4549-B3D0-35C61C61E844}"/>
    <hyperlink ref="V17" r:id="rId8" display="https://publicitar.com.co/tienda/variedades/alcancias/alcancia-mini-piggy/?srsltid=AfmBOorJPc0yLb6a-n1rWnCUOIWGcIPmtp5QYyp2QYy-rXTmqE3F1m-f" xr:uid="{B1A8D472-9261-467E-92CF-6A714AA6AA1C}"/>
    <hyperlink ref="V18" r:id="rId9" display="https://markados.com.co/alcancia-mini-piggy/" xr:uid="{06F225E6-C24E-4A68-888C-C56A51557A94}"/>
    <hyperlink ref="V19" r:id="rId10" display="https://markados.com.co/vaso-plegable-eco/" xr:uid="{B33EE5EA-9B7F-49EE-9E90-697B121CDD05}"/>
    <hyperlink ref="V20" r:id="rId11" display="https://publicitar.com.co/tienda/salud-y-belleza/pastilleros/vaso-plegable-eco/?srsltid=AfmBOorzkbjdwb6sp-R8Rg7zFqO0DV7a5x9jHzFj1rcMgHjs3W_abJwn" xr:uid="{5AD868A5-5C59-4565-B414-F86A9BC0D50E}"/>
    <hyperlink ref="V15" r:id="rId12" display="https://publicitar.com.co/tienda/herramientas/metros/llavero-mini-flexometro-de-bolsillo/ " xr:uid="{D8A964A5-2306-4761-885E-4C1276CB3EDE}"/>
    <hyperlink ref="V16" r:id="rId13" display="https://em2c.com.co/producto/llavero-mini-flexometro-de-bolsillo/." xr:uid="{DC102665-C490-4B3B-922E-280AEED17B70}"/>
  </hyperlinks>
  <pageMargins left="0.7" right="0.7" top="0.75" bottom="0.75" header="0.3" footer="0.3"/>
  <pageSetup paperSize="9" orientation="portrait" horizontalDpi="300" verticalDpi="300" r:id="rId14"/>
  <legacyDrawing r:id="rId15"/>
  <extLst>
    <ext xmlns:x14="http://schemas.microsoft.com/office/spreadsheetml/2009/9/main" uri="{78C0D931-6437-407d-A8EE-F0AAD7539E65}">
      <x14:conditionalFormattings>
        <x14:conditionalFormatting xmlns:xm="http://schemas.microsoft.com/office/excel/2006/main">
          <x14:cfRule type="dataBar" id="{BE62FF39-B14B-4EE5-8443-B0386F40CE61}">
            <x14:dataBar minLength="0" maxLength="100" gradient="0">
              <x14:cfvo type="autoMin"/>
              <x14:cfvo type="autoMax"/>
              <x14:negativeFillColor rgb="FFFF0000"/>
              <x14:axisColor rgb="FF000000"/>
            </x14:dataBar>
          </x14:cfRule>
          <xm:sqref>P5:P20</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0EAF5-9AED-4EF0-8FA7-3B285F14C4FD}">
  <dimension ref="A1:CJX379"/>
  <sheetViews>
    <sheetView zoomScale="85" zoomScaleNormal="85" workbookViewId="0">
      <pane xSplit="8" ySplit="6" topLeftCell="I7" activePane="bottomRight" state="frozen"/>
      <selection pane="topRight" activeCell="I1" sqref="I1"/>
      <selection pane="bottomLeft" activeCell="A7" sqref="A7"/>
      <selection pane="bottomRight" activeCell="K12" sqref="K12"/>
    </sheetView>
  </sheetViews>
  <sheetFormatPr baseColWidth="10" defaultColWidth="11.44140625" defaultRowHeight="14.4" outlineLevelCol="1" x14ac:dyDescent="0.3"/>
  <cols>
    <col min="1" max="1" width="7.44140625" style="2" customWidth="1"/>
    <col min="2" max="2" width="12.6640625" style="2" customWidth="1"/>
    <col min="3" max="3" width="24" style="78" customWidth="1"/>
    <col min="4" max="4" width="29.88671875" style="2" customWidth="1"/>
    <col min="5" max="5" width="12.33203125" style="2" customWidth="1"/>
    <col min="6" max="6" width="12.5546875" style="2" customWidth="1"/>
    <col min="7" max="7" width="11.44140625" style="2"/>
    <col min="8" max="8" width="20.5546875" style="2" customWidth="1" outlineLevel="1"/>
    <col min="9" max="9" width="11.44140625" style="1" customWidth="1" outlineLevel="1"/>
    <col min="10" max="10" width="12.44140625" style="2" customWidth="1" outlineLevel="1"/>
    <col min="11" max="11" width="15.6640625" style="1" customWidth="1" outlineLevel="1"/>
    <col min="12" max="12" width="15.88671875" style="3" customWidth="1" outlineLevel="1"/>
    <col min="13" max="15" width="15.88671875" style="4" customWidth="1"/>
    <col min="16" max="16" width="17.88671875" style="3" customWidth="1"/>
    <col min="17" max="17" width="17.88671875" style="4" customWidth="1"/>
    <col min="18" max="18" width="17.88671875" style="3" hidden="1" customWidth="1"/>
    <col min="19" max="19" width="17" style="2" hidden="1" customWidth="1"/>
    <col min="20" max="20" width="27.33203125" style="70" hidden="1" customWidth="1"/>
    <col min="21" max="21" width="19.88671875" style="2" customWidth="1"/>
    <col min="22" max="22" width="30.6640625" style="2" customWidth="1"/>
    <col min="23" max="23" width="39.88671875" style="72" hidden="1" customWidth="1"/>
    <col min="24" max="16384" width="11.44140625" style="2"/>
  </cols>
  <sheetData>
    <row r="1" spans="1:2312" ht="20.25" customHeight="1" x14ac:dyDescent="0.3">
      <c r="A1" s="674" t="s">
        <v>642</v>
      </c>
      <c r="B1" s="674"/>
      <c r="C1" s="675" t="s">
        <v>643</v>
      </c>
      <c r="D1" s="675"/>
      <c r="E1" s="675"/>
      <c r="F1" s="675"/>
      <c r="G1" s="675"/>
      <c r="H1" s="591" t="s">
        <v>644</v>
      </c>
      <c r="I1" s="591"/>
      <c r="J1" s="591"/>
      <c r="K1" s="591"/>
      <c r="L1" s="591"/>
      <c r="M1" s="676" t="s">
        <v>645</v>
      </c>
      <c r="N1" s="676"/>
      <c r="O1" s="676"/>
      <c r="P1" s="676"/>
      <c r="Q1" s="676"/>
      <c r="R1" s="676"/>
      <c r="S1" s="676"/>
      <c r="T1" s="676"/>
      <c r="U1" s="677" t="s">
        <v>646</v>
      </c>
      <c r="V1" s="753">
        <f>SUM(U5:U340)</f>
        <v>7390497.328662754</v>
      </c>
      <c r="W1" s="187"/>
    </row>
    <row r="2" spans="1:2312" ht="19.5" customHeight="1" x14ac:dyDescent="0.3">
      <c r="A2" s="674"/>
      <c r="B2" s="674"/>
      <c r="C2" s="675"/>
      <c r="D2" s="675"/>
      <c r="E2" s="675"/>
      <c r="F2" s="675"/>
      <c r="G2" s="675"/>
      <c r="H2" s="591"/>
      <c r="I2" s="591"/>
      <c r="J2" s="591"/>
      <c r="K2" s="591"/>
      <c r="L2" s="752"/>
      <c r="M2" s="676"/>
      <c r="N2" s="676"/>
      <c r="O2" s="676"/>
      <c r="P2" s="676"/>
      <c r="Q2" s="676"/>
      <c r="R2" s="676"/>
      <c r="S2" s="676"/>
      <c r="T2" s="676"/>
      <c r="U2" s="677"/>
      <c r="V2" s="753"/>
      <c r="W2" s="187"/>
    </row>
    <row r="3" spans="1:2312" ht="15" customHeight="1" x14ac:dyDescent="0.3">
      <c r="A3" s="622" t="s">
        <v>3</v>
      </c>
      <c r="B3" s="622" t="s">
        <v>4</v>
      </c>
      <c r="C3" s="622" t="s">
        <v>5</v>
      </c>
      <c r="D3" s="622" t="s">
        <v>6</v>
      </c>
      <c r="E3" s="578" t="s">
        <v>648</v>
      </c>
      <c r="F3" s="578" t="s">
        <v>780</v>
      </c>
      <c r="G3" s="579" t="s">
        <v>9</v>
      </c>
      <c r="H3" s="622" t="s">
        <v>10</v>
      </c>
      <c r="I3" s="671" t="s">
        <v>11</v>
      </c>
      <c r="J3" s="672" t="s">
        <v>12</v>
      </c>
      <c r="K3" s="756" t="s">
        <v>650</v>
      </c>
      <c r="L3" s="757" t="s">
        <v>651</v>
      </c>
      <c r="M3" s="755" t="s">
        <v>15</v>
      </c>
      <c r="N3" s="682" t="s">
        <v>16</v>
      </c>
      <c r="O3" s="684" t="s">
        <v>17</v>
      </c>
      <c r="P3" s="681" t="s">
        <v>18</v>
      </c>
      <c r="Q3" s="682" t="s">
        <v>19</v>
      </c>
      <c r="R3" s="681" t="s">
        <v>20</v>
      </c>
      <c r="S3" s="678" t="s">
        <v>21</v>
      </c>
      <c r="T3" s="679" t="s">
        <v>22</v>
      </c>
      <c r="U3" s="680" t="s">
        <v>23</v>
      </c>
      <c r="V3" s="679" t="s">
        <v>652</v>
      </c>
      <c r="W3" s="67"/>
    </row>
    <row r="4" spans="1:2312" s="68" customFormat="1" ht="69" customHeight="1" x14ac:dyDescent="0.3">
      <c r="A4" s="622"/>
      <c r="B4" s="622"/>
      <c r="C4" s="622"/>
      <c r="D4" s="622"/>
      <c r="E4" s="578"/>
      <c r="F4" s="578"/>
      <c r="G4" s="579"/>
      <c r="H4" s="622"/>
      <c r="I4" s="671"/>
      <c r="J4" s="672"/>
      <c r="K4" s="756"/>
      <c r="L4" s="757"/>
      <c r="M4" s="755"/>
      <c r="N4" s="682"/>
      <c r="O4" s="684"/>
      <c r="P4" s="681"/>
      <c r="Q4" s="682"/>
      <c r="R4" s="681"/>
      <c r="S4" s="678"/>
      <c r="T4" s="679"/>
      <c r="U4" s="680"/>
      <c r="V4" s="754"/>
      <c r="W4" s="188"/>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c r="IV4" s="2"/>
      <c r="IW4" s="2"/>
      <c r="IX4" s="2"/>
      <c r="IY4" s="2"/>
      <c r="IZ4" s="2"/>
      <c r="JA4" s="2"/>
      <c r="JB4" s="2"/>
      <c r="JC4" s="2"/>
      <c r="JD4" s="2"/>
      <c r="JE4" s="2"/>
      <c r="JF4" s="2"/>
      <c r="JG4" s="2"/>
      <c r="JH4" s="2"/>
      <c r="JI4" s="2"/>
      <c r="JJ4" s="2"/>
      <c r="JK4" s="2"/>
      <c r="JL4" s="2"/>
      <c r="JM4" s="2"/>
      <c r="JN4" s="2"/>
      <c r="JO4" s="2"/>
      <c r="JP4" s="2"/>
      <c r="JQ4" s="2"/>
      <c r="JR4" s="2"/>
      <c r="JS4" s="2"/>
      <c r="JT4" s="2"/>
      <c r="JU4" s="2"/>
      <c r="JV4" s="2"/>
      <c r="JW4" s="2"/>
      <c r="JX4" s="2"/>
      <c r="JY4" s="2"/>
      <c r="JZ4" s="2"/>
      <c r="KA4" s="2"/>
      <c r="KB4" s="2"/>
      <c r="KC4" s="2"/>
      <c r="KD4" s="2"/>
      <c r="KE4" s="2"/>
      <c r="KF4" s="2"/>
      <c r="KG4" s="2"/>
      <c r="KH4" s="2"/>
      <c r="KI4" s="2"/>
      <c r="KJ4" s="2"/>
      <c r="KK4" s="2"/>
      <c r="KL4" s="2"/>
      <c r="KM4" s="2"/>
      <c r="KN4" s="2"/>
      <c r="KO4" s="2"/>
      <c r="KP4" s="2"/>
      <c r="KQ4" s="2"/>
      <c r="KR4" s="2"/>
      <c r="KS4" s="2"/>
      <c r="KT4" s="2"/>
      <c r="KU4" s="2"/>
      <c r="KV4" s="2"/>
      <c r="KW4" s="2"/>
      <c r="KX4" s="2"/>
      <c r="KY4" s="2"/>
      <c r="KZ4" s="2"/>
      <c r="LA4" s="2"/>
      <c r="LB4" s="2"/>
      <c r="LC4" s="2"/>
      <c r="LD4" s="2"/>
      <c r="LE4" s="2"/>
      <c r="LF4" s="2"/>
      <c r="LG4" s="2"/>
      <c r="LH4" s="2"/>
      <c r="LI4" s="2"/>
      <c r="LJ4" s="2"/>
      <c r="LK4" s="2"/>
      <c r="LL4" s="2"/>
      <c r="LM4" s="2"/>
      <c r="LN4" s="2"/>
      <c r="LO4" s="2"/>
      <c r="LP4" s="2"/>
      <c r="LQ4" s="2"/>
      <c r="LR4" s="2"/>
      <c r="LS4" s="2"/>
      <c r="LT4" s="2"/>
      <c r="LU4" s="2"/>
      <c r="LV4" s="2"/>
      <c r="LW4" s="2"/>
      <c r="LX4" s="2"/>
      <c r="LY4" s="2"/>
      <c r="LZ4" s="2"/>
      <c r="MA4" s="2"/>
      <c r="MB4" s="2"/>
      <c r="MC4" s="2"/>
      <c r="MD4" s="2"/>
      <c r="ME4" s="2"/>
      <c r="MF4" s="2"/>
      <c r="MG4" s="2"/>
      <c r="MH4" s="2"/>
      <c r="MI4" s="2"/>
      <c r="MJ4" s="2"/>
      <c r="MK4" s="2"/>
      <c r="ML4" s="2"/>
      <c r="MM4" s="2"/>
      <c r="MN4" s="2"/>
      <c r="MO4" s="2"/>
      <c r="MP4" s="2"/>
      <c r="MQ4" s="2"/>
      <c r="MR4" s="2"/>
      <c r="MS4" s="2"/>
      <c r="MT4" s="2"/>
      <c r="MU4" s="2"/>
      <c r="MV4" s="2"/>
      <c r="MW4" s="2"/>
      <c r="MX4" s="2"/>
      <c r="MY4" s="2"/>
      <c r="MZ4" s="2"/>
      <c r="NA4" s="2"/>
      <c r="NB4" s="2"/>
      <c r="NC4" s="2"/>
      <c r="ND4" s="2"/>
      <c r="NE4" s="2"/>
      <c r="NF4" s="2"/>
      <c r="NG4" s="2"/>
      <c r="NH4" s="2"/>
      <c r="NI4" s="2"/>
      <c r="NJ4" s="2"/>
      <c r="NK4" s="2"/>
      <c r="NL4" s="2"/>
      <c r="NM4" s="2"/>
      <c r="NN4" s="2"/>
      <c r="NO4" s="2"/>
      <c r="NP4" s="2"/>
      <c r="NQ4" s="2"/>
      <c r="NR4" s="2"/>
      <c r="NS4" s="2"/>
      <c r="NT4" s="2"/>
      <c r="NU4" s="2"/>
      <c r="NV4" s="2"/>
      <c r="NW4" s="2"/>
      <c r="NX4" s="2"/>
      <c r="NY4" s="2"/>
      <c r="NZ4" s="2"/>
      <c r="OA4" s="2"/>
      <c r="OB4" s="2"/>
      <c r="OC4" s="2"/>
      <c r="OD4" s="2"/>
      <c r="OE4" s="2"/>
      <c r="OF4" s="2"/>
      <c r="OG4" s="2"/>
      <c r="OH4" s="2"/>
      <c r="OI4" s="2"/>
      <c r="OJ4" s="2"/>
      <c r="OK4" s="2"/>
      <c r="OL4" s="2"/>
      <c r="OM4" s="2"/>
      <c r="ON4" s="2"/>
      <c r="OO4" s="2"/>
      <c r="OP4" s="2"/>
      <c r="OQ4" s="2"/>
      <c r="OR4" s="2"/>
      <c r="OS4" s="2"/>
      <c r="OT4" s="2"/>
      <c r="OU4" s="2"/>
      <c r="OV4" s="2"/>
      <c r="OW4" s="2"/>
      <c r="OX4" s="2"/>
      <c r="OY4" s="2"/>
      <c r="OZ4" s="2"/>
      <c r="PA4" s="2"/>
      <c r="PB4" s="2"/>
      <c r="PC4" s="2"/>
      <c r="PD4" s="2"/>
      <c r="PE4" s="2"/>
      <c r="PF4" s="2"/>
      <c r="PG4" s="2"/>
      <c r="PH4" s="2"/>
      <c r="PI4" s="2"/>
      <c r="PJ4" s="2"/>
      <c r="PK4" s="2"/>
      <c r="PL4" s="2"/>
      <c r="PM4" s="2"/>
      <c r="PN4" s="2"/>
      <c r="PO4" s="2"/>
      <c r="PP4" s="2"/>
      <c r="PQ4" s="2"/>
      <c r="PR4" s="2"/>
      <c r="PS4" s="2"/>
      <c r="PT4" s="2"/>
      <c r="PU4" s="2"/>
      <c r="PV4" s="2"/>
      <c r="PW4" s="2"/>
      <c r="PX4" s="2"/>
      <c r="PY4" s="2"/>
      <c r="PZ4" s="2"/>
      <c r="QA4" s="2"/>
      <c r="QB4" s="2"/>
      <c r="QC4" s="2"/>
      <c r="QD4" s="2"/>
      <c r="QE4" s="2"/>
      <c r="QF4" s="2"/>
      <c r="QG4" s="2"/>
      <c r="QH4" s="2"/>
      <c r="QI4" s="2"/>
      <c r="QJ4" s="2"/>
      <c r="QK4" s="2"/>
      <c r="QL4" s="2"/>
      <c r="QM4" s="2"/>
      <c r="QN4" s="2"/>
      <c r="QO4" s="2"/>
      <c r="QP4" s="2"/>
      <c r="QQ4" s="2"/>
      <c r="QR4" s="2"/>
      <c r="QS4" s="2"/>
      <c r="QT4" s="2"/>
      <c r="QU4" s="2"/>
      <c r="QV4" s="2"/>
      <c r="QW4" s="2"/>
      <c r="QX4" s="2"/>
      <c r="QY4" s="2"/>
      <c r="QZ4" s="2"/>
      <c r="RA4" s="2"/>
      <c r="RB4" s="2"/>
      <c r="RC4" s="2"/>
      <c r="RD4" s="2"/>
      <c r="RE4" s="2"/>
      <c r="RF4" s="2"/>
      <c r="RG4" s="2"/>
      <c r="RH4" s="2"/>
      <c r="RI4" s="2"/>
      <c r="RJ4" s="2"/>
      <c r="RK4" s="2"/>
      <c r="RL4" s="2"/>
      <c r="RM4" s="2"/>
      <c r="RN4" s="2"/>
      <c r="RO4" s="2"/>
      <c r="RP4" s="2"/>
      <c r="RQ4" s="2"/>
      <c r="RR4" s="2"/>
      <c r="RS4" s="2"/>
      <c r="RT4" s="2"/>
      <c r="RU4" s="2"/>
      <c r="RV4" s="2"/>
      <c r="RW4" s="2"/>
      <c r="RX4" s="2"/>
      <c r="RY4" s="2"/>
      <c r="RZ4" s="2"/>
      <c r="SA4" s="2"/>
      <c r="SB4" s="2"/>
      <c r="SC4" s="2"/>
      <c r="SD4" s="2"/>
      <c r="SE4" s="2"/>
      <c r="SF4" s="2"/>
      <c r="SG4" s="2"/>
      <c r="SH4" s="2"/>
      <c r="SI4" s="2"/>
      <c r="SJ4" s="2"/>
      <c r="SK4" s="2"/>
      <c r="SL4" s="2"/>
      <c r="SM4" s="2"/>
      <c r="SN4" s="2"/>
      <c r="SO4" s="2"/>
      <c r="SP4" s="2"/>
      <c r="SQ4" s="2"/>
      <c r="SR4" s="2"/>
      <c r="SS4" s="2"/>
      <c r="ST4" s="2"/>
      <c r="SU4" s="2"/>
      <c r="SV4" s="2"/>
      <c r="SW4" s="2"/>
      <c r="SX4" s="2"/>
      <c r="SY4" s="2"/>
      <c r="SZ4" s="2"/>
      <c r="TA4" s="2"/>
      <c r="TB4" s="2"/>
      <c r="TC4" s="2"/>
      <c r="TD4" s="2"/>
      <c r="TE4" s="2"/>
      <c r="TF4" s="2"/>
      <c r="TG4" s="2"/>
      <c r="TH4" s="2"/>
      <c r="TI4" s="2"/>
      <c r="TJ4" s="2"/>
      <c r="TK4" s="2"/>
      <c r="TL4" s="2"/>
      <c r="TM4" s="2"/>
      <c r="TN4" s="2"/>
      <c r="TO4" s="2"/>
      <c r="TP4" s="2"/>
      <c r="TQ4" s="2"/>
      <c r="TR4" s="2"/>
      <c r="TS4" s="2"/>
      <c r="TT4" s="2"/>
      <c r="TU4" s="2"/>
      <c r="TV4" s="2"/>
      <c r="TW4" s="2"/>
      <c r="TX4" s="2"/>
      <c r="TY4" s="2"/>
      <c r="TZ4" s="2"/>
      <c r="UA4" s="2"/>
      <c r="UB4" s="2"/>
      <c r="UC4" s="2"/>
      <c r="UD4" s="2"/>
      <c r="UE4" s="2"/>
      <c r="UF4" s="2"/>
      <c r="UG4" s="2"/>
      <c r="UH4" s="2"/>
      <c r="UI4" s="2"/>
      <c r="UJ4" s="2"/>
      <c r="UK4" s="2"/>
      <c r="UL4" s="2"/>
      <c r="UM4" s="2"/>
      <c r="UN4" s="2"/>
      <c r="UO4" s="2"/>
      <c r="UP4" s="2"/>
      <c r="UQ4" s="2"/>
      <c r="UR4" s="2"/>
      <c r="US4" s="2"/>
      <c r="UT4" s="2"/>
      <c r="UU4" s="2"/>
      <c r="UV4" s="2"/>
      <c r="UW4" s="2"/>
      <c r="UX4" s="2"/>
      <c r="UY4" s="2"/>
      <c r="UZ4" s="2"/>
      <c r="VA4" s="2"/>
      <c r="VB4" s="2"/>
      <c r="VC4" s="2"/>
      <c r="VD4" s="2"/>
      <c r="VE4" s="2"/>
      <c r="VF4" s="2"/>
      <c r="VG4" s="2"/>
      <c r="VH4" s="2"/>
      <c r="VI4" s="2"/>
      <c r="VJ4" s="2"/>
      <c r="VK4" s="2"/>
      <c r="VL4" s="2"/>
      <c r="VM4" s="2"/>
      <c r="VN4" s="2"/>
      <c r="VO4" s="2"/>
      <c r="VP4" s="2"/>
      <c r="VQ4" s="2"/>
      <c r="VR4" s="2"/>
      <c r="VS4" s="2"/>
      <c r="VT4" s="2"/>
      <c r="VU4" s="2"/>
      <c r="VV4" s="2"/>
      <c r="VW4" s="2"/>
      <c r="VX4" s="2"/>
      <c r="VY4" s="2"/>
      <c r="VZ4" s="2"/>
      <c r="WA4" s="2"/>
      <c r="WB4" s="2"/>
      <c r="WC4" s="2"/>
      <c r="WD4" s="2"/>
      <c r="WE4" s="2"/>
      <c r="WF4" s="2"/>
      <c r="WG4" s="2"/>
      <c r="WH4" s="2"/>
      <c r="WI4" s="2"/>
      <c r="WJ4" s="2"/>
      <c r="WK4" s="2"/>
      <c r="WL4" s="2"/>
      <c r="WM4" s="2"/>
      <c r="WN4" s="2"/>
      <c r="WO4" s="2"/>
      <c r="WP4" s="2"/>
      <c r="WQ4" s="2"/>
      <c r="WR4" s="2"/>
      <c r="WS4" s="2"/>
      <c r="WT4" s="2"/>
      <c r="WU4" s="2"/>
      <c r="WV4" s="2"/>
      <c r="WW4" s="2"/>
      <c r="WX4" s="2"/>
      <c r="WY4" s="2"/>
      <c r="WZ4" s="2"/>
      <c r="XA4" s="2"/>
      <c r="XB4" s="2"/>
      <c r="XC4" s="2"/>
      <c r="XD4" s="2"/>
      <c r="XE4" s="2"/>
      <c r="XF4" s="2"/>
      <c r="XG4" s="2"/>
      <c r="XH4" s="2"/>
      <c r="XI4" s="2"/>
      <c r="XJ4" s="2"/>
      <c r="XK4" s="2"/>
      <c r="XL4" s="2"/>
      <c r="XM4" s="2"/>
      <c r="XN4" s="2"/>
      <c r="XO4" s="2"/>
      <c r="XP4" s="2"/>
      <c r="XQ4" s="2"/>
      <c r="XR4" s="2"/>
      <c r="XS4" s="2"/>
      <c r="XT4" s="2"/>
      <c r="XU4" s="2"/>
      <c r="XV4" s="2"/>
      <c r="XW4" s="2"/>
      <c r="XX4" s="2"/>
      <c r="XY4" s="2"/>
      <c r="XZ4" s="2"/>
      <c r="YA4" s="2"/>
      <c r="YB4" s="2"/>
      <c r="YC4" s="2"/>
      <c r="YD4" s="2"/>
      <c r="YE4" s="2"/>
      <c r="YF4" s="2"/>
      <c r="YG4" s="2"/>
      <c r="YH4" s="2"/>
      <c r="YI4" s="2"/>
      <c r="YJ4" s="2"/>
      <c r="YK4" s="2"/>
      <c r="YL4" s="2"/>
      <c r="YM4" s="2"/>
      <c r="YN4" s="2"/>
      <c r="YO4" s="2"/>
      <c r="YP4" s="2"/>
      <c r="YQ4" s="2"/>
      <c r="YR4" s="2"/>
      <c r="YS4" s="2"/>
      <c r="YT4" s="2"/>
      <c r="YU4" s="2"/>
      <c r="YV4" s="2"/>
      <c r="YW4" s="2"/>
      <c r="YX4" s="2"/>
      <c r="YY4" s="2"/>
      <c r="YZ4" s="2"/>
      <c r="ZA4" s="2"/>
      <c r="ZB4" s="2"/>
      <c r="ZC4" s="2"/>
      <c r="ZD4" s="2"/>
      <c r="ZE4" s="2"/>
      <c r="ZF4" s="2"/>
      <c r="ZG4" s="2"/>
      <c r="ZH4" s="2"/>
      <c r="ZI4" s="2"/>
      <c r="ZJ4" s="2"/>
      <c r="ZK4" s="2"/>
      <c r="ZL4" s="2"/>
      <c r="ZM4" s="2"/>
      <c r="ZN4" s="2"/>
      <c r="ZO4" s="2"/>
      <c r="ZP4" s="2"/>
      <c r="ZQ4" s="2"/>
      <c r="ZR4" s="2"/>
      <c r="ZS4" s="2"/>
      <c r="ZT4" s="2"/>
      <c r="ZU4" s="2"/>
      <c r="ZV4" s="2"/>
      <c r="ZW4" s="2"/>
      <c r="ZX4" s="2"/>
      <c r="ZY4" s="2"/>
      <c r="ZZ4" s="2"/>
      <c r="AAA4" s="2"/>
      <c r="AAB4" s="2"/>
      <c r="AAC4" s="2"/>
      <c r="AAD4" s="2"/>
      <c r="AAE4" s="2"/>
      <c r="AAF4" s="2"/>
      <c r="AAG4" s="2"/>
      <c r="AAH4" s="2"/>
      <c r="AAI4" s="2"/>
      <c r="AAJ4" s="2"/>
      <c r="AAK4" s="2"/>
      <c r="AAL4" s="2"/>
      <c r="AAM4" s="2"/>
      <c r="AAN4" s="2"/>
      <c r="AAO4" s="2"/>
      <c r="AAP4" s="2"/>
      <c r="AAQ4" s="2"/>
      <c r="AAR4" s="2"/>
      <c r="AAS4" s="2"/>
      <c r="AAT4" s="2"/>
      <c r="AAU4" s="2"/>
      <c r="AAV4" s="2"/>
      <c r="AAW4" s="2"/>
      <c r="AAX4" s="2"/>
      <c r="AAY4" s="2"/>
      <c r="AAZ4" s="2"/>
      <c r="ABA4" s="2"/>
      <c r="ABB4" s="2"/>
      <c r="ABC4" s="2"/>
      <c r="ABD4" s="2"/>
      <c r="ABE4" s="2"/>
      <c r="ABF4" s="2"/>
      <c r="ABG4" s="2"/>
      <c r="ABH4" s="2"/>
      <c r="ABI4" s="2"/>
      <c r="ABJ4" s="2"/>
      <c r="ABK4" s="2"/>
      <c r="ABL4" s="2"/>
      <c r="ABM4" s="2"/>
      <c r="ABN4" s="2"/>
      <c r="ABO4" s="2"/>
      <c r="ABP4" s="2"/>
      <c r="ABQ4" s="2"/>
      <c r="ABR4" s="2"/>
      <c r="ABS4" s="2"/>
      <c r="ABT4" s="2"/>
      <c r="ABU4" s="2"/>
      <c r="ABV4" s="2"/>
      <c r="ABW4" s="2"/>
      <c r="ABX4" s="2"/>
      <c r="ABY4" s="2"/>
      <c r="ABZ4" s="2"/>
      <c r="ACA4" s="2"/>
      <c r="ACB4" s="2"/>
      <c r="ACC4" s="2"/>
      <c r="ACD4" s="2"/>
      <c r="ACE4" s="2"/>
      <c r="ACF4" s="2"/>
      <c r="ACG4" s="2"/>
      <c r="ACH4" s="2"/>
      <c r="ACI4" s="2"/>
      <c r="ACJ4" s="2"/>
      <c r="ACK4" s="2"/>
      <c r="ACL4" s="2"/>
      <c r="ACM4" s="2"/>
      <c r="ACN4" s="2"/>
      <c r="ACO4" s="2"/>
      <c r="ACP4" s="2"/>
      <c r="ACQ4" s="2"/>
      <c r="ACR4" s="2"/>
      <c r="ACS4" s="2"/>
      <c r="ACT4" s="2"/>
      <c r="ACU4" s="2"/>
      <c r="ACV4" s="2"/>
      <c r="ACW4" s="2"/>
      <c r="ACX4" s="2"/>
      <c r="ACY4" s="2"/>
      <c r="ACZ4" s="2"/>
      <c r="ADA4" s="2"/>
      <c r="ADB4" s="2"/>
      <c r="ADC4" s="2"/>
      <c r="ADD4" s="2"/>
      <c r="ADE4" s="2"/>
      <c r="ADF4" s="2"/>
      <c r="ADG4" s="2"/>
      <c r="ADH4" s="2"/>
      <c r="ADI4" s="2"/>
      <c r="ADJ4" s="2"/>
      <c r="ADK4" s="2"/>
      <c r="ADL4" s="2"/>
      <c r="ADM4" s="2"/>
      <c r="ADN4" s="2"/>
      <c r="ADO4" s="2"/>
      <c r="ADP4" s="2"/>
      <c r="ADQ4" s="2"/>
      <c r="ADR4" s="2"/>
      <c r="ADS4" s="2"/>
      <c r="ADT4" s="2"/>
      <c r="ADU4" s="2"/>
      <c r="ADV4" s="2"/>
      <c r="ADW4" s="2"/>
      <c r="ADX4" s="2"/>
      <c r="ADY4" s="2"/>
      <c r="ADZ4" s="2"/>
      <c r="AEA4" s="2"/>
      <c r="AEB4" s="2"/>
      <c r="AEC4" s="2"/>
      <c r="AED4" s="2"/>
      <c r="AEE4" s="2"/>
      <c r="AEF4" s="2"/>
      <c r="AEG4" s="2"/>
      <c r="AEH4" s="2"/>
      <c r="AEI4" s="2"/>
      <c r="AEJ4" s="2"/>
      <c r="AEK4" s="2"/>
      <c r="AEL4" s="2"/>
      <c r="AEM4" s="2"/>
      <c r="AEN4" s="2"/>
      <c r="AEO4" s="2"/>
      <c r="AEP4" s="2"/>
      <c r="AEQ4" s="2"/>
      <c r="AER4" s="2"/>
      <c r="AES4" s="2"/>
      <c r="AET4" s="2"/>
      <c r="AEU4" s="2"/>
      <c r="AEV4" s="2"/>
      <c r="AEW4" s="2"/>
      <c r="AEX4" s="2"/>
      <c r="AEY4" s="2"/>
      <c r="AEZ4" s="2"/>
      <c r="AFA4" s="2"/>
      <c r="AFB4" s="2"/>
      <c r="AFC4" s="2"/>
      <c r="AFD4" s="2"/>
      <c r="AFE4" s="2"/>
      <c r="AFF4" s="2"/>
      <c r="AFG4" s="2"/>
      <c r="AFH4" s="2"/>
      <c r="AFI4" s="2"/>
      <c r="AFJ4" s="2"/>
      <c r="AFK4" s="2"/>
      <c r="AFL4" s="2"/>
      <c r="AFM4" s="2"/>
      <c r="AFN4" s="2"/>
      <c r="AFO4" s="2"/>
      <c r="AFP4" s="2"/>
      <c r="AFQ4" s="2"/>
      <c r="AFR4" s="2"/>
      <c r="AFS4" s="2"/>
      <c r="AFT4" s="2"/>
      <c r="AFU4" s="2"/>
      <c r="AFV4" s="2"/>
      <c r="AFW4" s="2"/>
      <c r="AFX4" s="2"/>
      <c r="AFY4" s="2"/>
      <c r="AFZ4" s="2"/>
      <c r="AGA4" s="2"/>
      <c r="AGB4" s="2"/>
      <c r="AGC4" s="2"/>
      <c r="AGD4" s="2"/>
      <c r="AGE4" s="2"/>
      <c r="AGF4" s="2"/>
      <c r="AGG4" s="2"/>
      <c r="AGH4" s="2"/>
      <c r="AGI4" s="2"/>
      <c r="AGJ4" s="2"/>
      <c r="AGK4" s="2"/>
      <c r="AGL4" s="2"/>
      <c r="AGM4" s="2"/>
      <c r="AGN4" s="2"/>
      <c r="AGO4" s="2"/>
      <c r="AGP4" s="2"/>
      <c r="AGQ4" s="2"/>
      <c r="AGR4" s="2"/>
      <c r="AGS4" s="2"/>
      <c r="AGT4" s="2"/>
      <c r="AGU4" s="2"/>
      <c r="AGV4" s="2"/>
      <c r="AGW4" s="2"/>
      <c r="AGX4" s="2"/>
      <c r="AGY4" s="2"/>
      <c r="AGZ4" s="2"/>
      <c r="AHA4" s="2"/>
      <c r="AHB4" s="2"/>
      <c r="AHC4" s="2"/>
      <c r="AHD4" s="2"/>
      <c r="AHE4" s="2"/>
      <c r="AHF4" s="2"/>
      <c r="AHG4" s="2"/>
      <c r="AHH4" s="2"/>
      <c r="AHI4" s="2"/>
      <c r="AHJ4" s="2"/>
      <c r="AHK4" s="2"/>
      <c r="AHL4" s="2"/>
      <c r="AHM4" s="2"/>
      <c r="AHN4" s="2"/>
      <c r="AHO4" s="2"/>
      <c r="AHP4" s="2"/>
      <c r="AHQ4" s="2"/>
      <c r="AHR4" s="2"/>
      <c r="AHS4" s="2"/>
      <c r="AHT4" s="2"/>
      <c r="AHU4" s="2"/>
      <c r="AHV4" s="2"/>
      <c r="AHW4" s="2"/>
      <c r="AHX4" s="2"/>
      <c r="AHY4" s="2"/>
      <c r="AHZ4" s="2"/>
      <c r="AIA4" s="2"/>
      <c r="AIB4" s="2"/>
      <c r="AIC4" s="2"/>
      <c r="AID4" s="2"/>
      <c r="AIE4" s="2"/>
      <c r="AIF4" s="2"/>
      <c r="AIG4" s="2"/>
      <c r="AIH4" s="2"/>
      <c r="AII4" s="2"/>
      <c r="AIJ4" s="2"/>
      <c r="AIK4" s="2"/>
      <c r="AIL4" s="2"/>
      <c r="AIM4" s="2"/>
      <c r="AIN4" s="2"/>
      <c r="AIO4" s="2"/>
      <c r="AIP4" s="2"/>
      <c r="AIQ4" s="2"/>
      <c r="AIR4" s="2"/>
      <c r="AIS4" s="2"/>
      <c r="AIT4" s="2"/>
      <c r="AIU4" s="2"/>
      <c r="AIV4" s="2"/>
      <c r="AIW4" s="2"/>
      <c r="AIX4" s="2"/>
      <c r="AIY4" s="2"/>
      <c r="AIZ4" s="2"/>
      <c r="AJA4" s="2"/>
      <c r="AJB4" s="2"/>
      <c r="AJC4" s="2"/>
      <c r="AJD4" s="2"/>
      <c r="AJE4" s="2"/>
      <c r="AJF4" s="2"/>
      <c r="AJG4" s="2"/>
      <c r="AJH4" s="2"/>
      <c r="AJI4" s="2"/>
      <c r="AJJ4" s="2"/>
      <c r="AJK4" s="2"/>
      <c r="AJL4" s="2"/>
      <c r="AJM4" s="2"/>
      <c r="AJN4" s="2"/>
      <c r="AJO4" s="2"/>
      <c r="AJP4" s="2"/>
      <c r="AJQ4" s="2"/>
      <c r="AJR4" s="2"/>
      <c r="AJS4" s="2"/>
      <c r="AJT4" s="2"/>
      <c r="AJU4" s="2"/>
      <c r="AJV4" s="2"/>
      <c r="AJW4" s="2"/>
      <c r="AJX4" s="2"/>
      <c r="AJY4" s="2"/>
      <c r="AJZ4" s="2"/>
      <c r="AKA4" s="2"/>
      <c r="AKB4" s="2"/>
      <c r="AKC4" s="2"/>
      <c r="AKD4" s="2"/>
      <c r="AKE4" s="2"/>
      <c r="AKF4" s="2"/>
      <c r="AKG4" s="2"/>
      <c r="AKH4" s="2"/>
      <c r="AKI4" s="2"/>
      <c r="AKJ4" s="2"/>
      <c r="AKK4" s="2"/>
      <c r="AKL4" s="2"/>
      <c r="AKM4" s="2"/>
      <c r="AKN4" s="2"/>
      <c r="AKO4" s="2"/>
      <c r="AKP4" s="2"/>
      <c r="AKQ4" s="2"/>
      <c r="AKR4" s="2"/>
      <c r="AKS4" s="2"/>
      <c r="AKT4" s="2"/>
      <c r="AKU4" s="2"/>
      <c r="AKV4" s="2"/>
      <c r="AKW4" s="2"/>
      <c r="AKX4" s="2"/>
      <c r="AKY4" s="2"/>
      <c r="AKZ4" s="2"/>
      <c r="ALA4" s="2"/>
      <c r="ALB4" s="2"/>
      <c r="ALC4" s="2"/>
      <c r="ALD4" s="2"/>
      <c r="ALE4" s="2"/>
      <c r="ALF4" s="2"/>
      <c r="ALG4" s="2"/>
      <c r="ALH4" s="2"/>
      <c r="ALI4" s="2"/>
      <c r="ALJ4" s="2"/>
      <c r="ALK4" s="2"/>
      <c r="ALL4" s="2"/>
      <c r="ALM4" s="2"/>
      <c r="ALN4" s="2"/>
      <c r="ALO4" s="2"/>
      <c r="ALP4" s="2"/>
      <c r="ALQ4" s="2"/>
      <c r="ALR4" s="2"/>
      <c r="ALS4" s="2"/>
      <c r="ALT4" s="2"/>
      <c r="ALU4" s="2"/>
      <c r="ALV4" s="2"/>
      <c r="ALW4" s="2"/>
      <c r="ALX4" s="2"/>
      <c r="ALY4" s="2"/>
      <c r="ALZ4" s="2"/>
      <c r="AMA4" s="2"/>
      <c r="AMB4" s="2"/>
      <c r="AMC4" s="2"/>
      <c r="AMD4" s="2"/>
      <c r="AME4" s="2"/>
      <c r="AMF4" s="2"/>
      <c r="AMG4" s="2"/>
      <c r="AMH4" s="2"/>
      <c r="AMI4" s="2"/>
      <c r="AMJ4" s="2"/>
      <c r="AMK4" s="2"/>
      <c r="AML4" s="2"/>
      <c r="AMM4" s="2"/>
      <c r="AMN4" s="2"/>
      <c r="AMO4" s="2"/>
      <c r="AMP4" s="2"/>
      <c r="AMQ4" s="2"/>
      <c r="AMR4" s="2"/>
      <c r="AMS4" s="2"/>
      <c r="AMT4" s="2"/>
      <c r="AMU4" s="2"/>
      <c r="AMV4" s="2"/>
      <c r="AMW4" s="2"/>
      <c r="AMX4" s="2"/>
      <c r="AMY4" s="2"/>
      <c r="AMZ4" s="2"/>
      <c r="ANA4" s="2"/>
      <c r="ANB4" s="2"/>
      <c r="ANC4" s="2"/>
      <c r="AND4" s="2"/>
      <c r="ANE4" s="2"/>
      <c r="ANF4" s="2"/>
      <c r="ANG4" s="2"/>
      <c r="ANH4" s="2"/>
      <c r="ANI4" s="2"/>
      <c r="ANJ4" s="2"/>
      <c r="ANK4" s="2"/>
      <c r="ANL4" s="2"/>
      <c r="ANM4" s="2"/>
      <c r="ANN4" s="2"/>
      <c r="ANO4" s="2"/>
      <c r="ANP4" s="2"/>
      <c r="ANQ4" s="2"/>
      <c r="ANR4" s="2"/>
      <c r="ANS4" s="2"/>
      <c r="ANT4" s="2"/>
      <c r="ANU4" s="2"/>
      <c r="ANV4" s="2"/>
      <c r="ANW4" s="2"/>
      <c r="ANX4" s="2"/>
      <c r="ANY4" s="2"/>
      <c r="ANZ4" s="2"/>
      <c r="AOA4" s="2"/>
      <c r="AOB4" s="2"/>
      <c r="AOC4" s="2"/>
      <c r="AOD4" s="2"/>
      <c r="AOE4" s="2"/>
      <c r="AOF4" s="2"/>
      <c r="AOG4" s="2"/>
      <c r="AOH4" s="2"/>
      <c r="AOI4" s="2"/>
      <c r="AOJ4" s="2"/>
      <c r="AOK4" s="2"/>
      <c r="AOL4" s="2"/>
      <c r="AOM4" s="2"/>
      <c r="AON4" s="2"/>
      <c r="AOO4" s="2"/>
      <c r="AOP4" s="2"/>
      <c r="AOQ4" s="2"/>
      <c r="AOR4" s="2"/>
      <c r="AOS4" s="2"/>
      <c r="AOT4" s="2"/>
      <c r="AOU4" s="2"/>
      <c r="AOV4" s="2"/>
      <c r="AOW4" s="2"/>
      <c r="AOX4" s="2"/>
      <c r="AOY4" s="2"/>
      <c r="AOZ4" s="2"/>
      <c r="APA4" s="2"/>
      <c r="APB4" s="2"/>
      <c r="APC4" s="2"/>
      <c r="APD4" s="2"/>
      <c r="APE4" s="2"/>
      <c r="APF4" s="2"/>
      <c r="APG4" s="2"/>
      <c r="APH4" s="2"/>
      <c r="API4" s="2"/>
      <c r="APJ4" s="2"/>
      <c r="APK4" s="2"/>
      <c r="APL4" s="2"/>
      <c r="APM4" s="2"/>
      <c r="APN4" s="2"/>
      <c r="APO4" s="2"/>
      <c r="APP4" s="2"/>
      <c r="APQ4" s="2"/>
      <c r="APR4" s="2"/>
      <c r="APS4" s="2"/>
      <c r="APT4" s="2"/>
      <c r="APU4" s="2"/>
      <c r="APV4" s="2"/>
      <c r="APW4" s="2"/>
      <c r="APX4" s="2"/>
      <c r="APY4" s="2"/>
      <c r="APZ4" s="2"/>
      <c r="AQA4" s="2"/>
      <c r="AQB4" s="2"/>
      <c r="AQC4" s="2"/>
      <c r="AQD4" s="2"/>
      <c r="AQE4" s="2"/>
      <c r="AQF4" s="2"/>
      <c r="AQG4" s="2"/>
      <c r="AQH4" s="2"/>
      <c r="AQI4" s="2"/>
      <c r="AQJ4" s="2"/>
      <c r="AQK4" s="2"/>
      <c r="AQL4" s="2"/>
      <c r="AQM4" s="2"/>
      <c r="AQN4" s="2"/>
      <c r="AQO4" s="2"/>
      <c r="AQP4" s="2"/>
      <c r="AQQ4" s="2"/>
      <c r="AQR4" s="2"/>
      <c r="AQS4" s="2"/>
      <c r="AQT4" s="2"/>
      <c r="AQU4" s="2"/>
      <c r="AQV4" s="2"/>
      <c r="AQW4" s="2"/>
      <c r="AQX4" s="2"/>
      <c r="AQY4" s="2"/>
      <c r="AQZ4" s="2"/>
      <c r="ARA4" s="2"/>
      <c r="ARB4" s="2"/>
      <c r="ARC4" s="2"/>
      <c r="ARD4" s="2"/>
      <c r="ARE4" s="2"/>
      <c r="ARF4" s="2"/>
      <c r="ARG4" s="2"/>
      <c r="ARH4" s="2"/>
      <c r="ARI4" s="2"/>
      <c r="ARJ4" s="2"/>
      <c r="ARK4" s="2"/>
      <c r="ARL4" s="2"/>
      <c r="ARM4" s="2"/>
      <c r="ARN4" s="2"/>
      <c r="ARO4" s="2"/>
      <c r="ARP4" s="2"/>
      <c r="ARQ4" s="2"/>
      <c r="ARR4" s="2"/>
      <c r="ARS4" s="2"/>
      <c r="ART4" s="2"/>
      <c r="ARU4" s="2"/>
      <c r="ARV4" s="2"/>
      <c r="ARW4" s="2"/>
      <c r="ARX4" s="2"/>
      <c r="ARY4" s="2"/>
      <c r="ARZ4" s="2"/>
      <c r="ASA4" s="2"/>
      <c r="ASB4" s="2"/>
      <c r="ASC4" s="2"/>
      <c r="ASD4" s="2"/>
      <c r="ASE4" s="2"/>
      <c r="ASF4" s="2"/>
      <c r="ASG4" s="2"/>
      <c r="ASH4" s="2"/>
      <c r="ASI4" s="2"/>
      <c r="ASJ4" s="2"/>
      <c r="ASK4" s="2"/>
      <c r="ASL4" s="2"/>
      <c r="ASM4" s="2"/>
      <c r="ASN4" s="2"/>
      <c r="ASO4" s="2"/>
      <c r="ASP4" s="2"/>
      <c r="ASQ4" s="2"/>
      <c r="ASR4" s="2"/>
      <c r="ASS4" s="2"/>
      <c r="AST4" s="2"/>
      <c r="ASU4" s="2"/>
      <c r="ASV4" s="2"/>
      <c r="ASW4" s="2"/>
      <c r="ASX4" s="2"/>
      <c r="ASY4" s="2"/>
      <c r="ASZ4" s="2"/>
      <c r="ATA4" s="2"/>
      <c r="ATB4" s="2"/>
      <c r="ATC4" s="2"/>
      <c r="ATD4" s="2"/>
      <c r="ATE4" s="2"/>
      <c r="ATF4" s="2"/>
      <c r="ATG4" s="2"/>
      <c r="ATH4" s="2"/>
      <c r="ATI4" s="2"/>
      <c r="ATJ4" s="2"/>
      <c r="ATK4" s="2"/>
      <c r="ATL4" s="2"/>
      <c r="ATM4" s="2"/>
      <c r="ATN4" s="2"/>
      <c r="ATO4" s="2"/>
      <c r="ATP4" s="2"/>
      <c r="ATQ4" s="2"/>
      <c r="ATR4" s="2"/>
      <c r="ATS4" s="2"/>
      <c r="ATT4" s="2"/>
      <c r="ATU4" s="2"/>
      <c r="ATV4" s="2"/>
      <c r="ATW4" s="2"/>
      <c r="ATX4" s="2"/>
      <c r="ATY4" s="2"/>
      <c r="ATZ4" s="2"/>
      <c r="AUA4" s="2"/>
      <c r="AUB4" s="2"/>
      <c r="AUC4" s="2"/>
      <c r="AUD4" s="2"/>
      <c r="AUE4" s="2"/>
      <c r="AUF4" s="2"/>
      <c r="AUG4" s="2"/>
      <c r="AUH4" s="2"/>
      <c r="AUI4" s="2"/>
      <c r="AUJ4" s="2"/>
      <c r="AUK4" s="2"/>
      <c r="AUL4" s="2"/>
      <c r="AUM4" s="2"/>
      <c r="AUN4" s="2"/>
      <c r="AUO4" s="2"/>
      <c r="AUP4" s="2"/>
      <c r="AUQ4" s="2"/>
      <c r="AUR4" s="2"/>
      <c r="AUS4" s="2"/>
      <c r="AUT4" s="2"/>
      <c r="AUU4" s="2"/>
      <c r="AUV4" s="2"/>
      <c r="AUW4" s="2"/>
      <c r="AUX4" s="2"/>
      <c r="AUY4" s="2"/>
      <c r="AUZ4" s="2"/>
      <c r="AVA4" s="2"/>
      <c r="AVB4" s="2"/>
      <c r="AVC4" s="2"/>
      <c r="AVD4" s="2"/>
      <c r="AVE4" s="2"/>
      <c r="AVF4" s="2"/>
      <c r="AVG4" s="2"/>
      <c r="AVH4" s="2"/>
      <c r="AVI4" s="2"/>
      <c r="AVJ4" s="2"/>
      <c r="AVK4" s="2"/>
      <c r="AVL4" s="2"/>
      <c r="AVM4" s="2"/>
      <c r="AVN4" s="2"/>
      <c r="AVO4" s="2"/>
      <c r="AVP4" s="2"/>
      <c r="AVQ4" s="2"/>
      <c r="AVR4" s="2"/>
      <c r="AVS4" s="2"/>
      <c r="AVT4" s="2"/>
      <c r="AVU4" s="2"/>
      <c r="AVV4" s="2"/>
      <c r="AVW4" s="2"/>
      <c r="AVX4" s="2"/>
      <c r="AVY4" s="2"/>
      <c r="AVZ4" s="2"/>
      <c r="AWA4" s="2"/>
      <c r="AWB4" s="2"/>
      <c r="AWC4" s="2"/>
      <c r="AWD4" s="2"/>
      <c r="AWE4" s="2"/>
      <c r="AWF4" s="2"/>
      <c r="AWG4" s="2"/>
      <c r="AWH4" s="2"/>
      <c r="AWI4" s="2"/>
      <c r="AWJ4" s="2"/>
      <c r="AWK4" s="2"/>
      <c r="AWL4" s="2"/>
      <c r="AWM4" s="2"/>
      <c r="AWN4" s="2"/>
      <c r="AWO4" s="2"/>
      <c r="AWP4" s="2"/>
      <c r="AWQ4" s="2"/>
      <c r="AWR4" s="2"/>
      <c r="AWS4" s="2"/>
      <c r="AWT4" s="2"/>
      <c r="AWU4" s="2"/>
      <c r="AWV4" s="2"/>
      <c r="AWW4" s="2"/>
      <c r="AWX4" s="2"/>
      <c r="AWY4" s="2"/>
      <c r="AWZ4" s="2"/>
      <c r="AXA4" s="2"/>
      <c r="AXB4" s="2"/>
      <c r="AXC4" s="2"/>
      <c r="AXD4" s="2"/>
      <c r="AXE4" s="2"/>
      <c r="AXF4" s="2"/>
      <c r="AXG4" s="2"/>
      <c r="AXH4" s="2"/>
      <c r="AXI4" s="2"/>
      <c r="AXJ4" s="2"/>
      <c r="AXK4" s="2"/>
      <c r="AXL4" s="2"/>
      <c r="AXM4" s="2"/>
      <c r="AXN4" s="2"/>
      <c r="AXO4" s="2"/>
      <c r="AXP4" s="2"/>
      <c r="AXQ4" s="2"/>
      <c r="AXR4" s="2"/>
      <c r="AXS4" s="2"/>
      <c r="AXT4" s="2"/>
      <c r="AXU4" s="2"/>
      <c r="AXV4" s="2"/>
      <c r="AXW4" s="2"/>
      <c r="AXX4" s="2"/>
      <c r="AXY4" s="2"/>
      <c r="AXZ4" s="2"/>
      <c r="AYA4" s="2"/>
      <c r="AYB4" s="2"/>
      <c r="AYC4" s="2"/>
      <c r="AYD4" s="2"/>
      <c r="AYE4" s="2"/>
      <c r="AYF4" s="2"/>
      <c r="AYG4" s="2"/>
      <c r="AYH4" s="2"/>
      <c r="AYI4" s="2"/>
      <c r="AYJ4" s="2"/>
      <c r="AYK4" s="2"/>
      <c r="AYL4" s="2"/>
      <c r="AYM4" s="2"/>
      <c r="AYN4" s="2"/>
      <c r="AYO4" s="2"/>
      <c r="AYP4" s="2"/>
      <c r="AYQ4" s="2"/>
      <c r="AYR4" s="2"/>
      <c r="AYS4" s="2"/>
      <c r="AYT4" s="2"/>
      <c r="AYU4" s="2"/>
      <c r="AYV4" s="2"/>
      <c r="AYW4" s="2"/>
      <c r="AYX4" s="2"/>
      <c r="AYY4" s="2"/>
      <c r="AYZ4" s="2"/>
      <c r="AZA4" s="2"/>
      <c r="AZB4" s="2"/>
      <c r="AZC4" s="2"/>
      <c r="AZD4" s="2"/>
      <c r="AZE4" s="2"/>
      <c r="AZF4" s="2"/>
      <c r="AZG4" s="2"/>
      <c r="AZH4" s="2"/>
      <c r="AZI4" s="2"/>
      <c r="AZJ4" s="2"/>
      <c r="AZK4" s="2"/>
      <c r="AZL4" s="2"/>
      <c r="AZM4" s="2"/>
      <c r="AZN4" s="2"/>
      <c r="AZO4" s="2"/>
      <c r="AZP4" s="2"/>
      <c r="AZQ4" s="2"/>
      <c r="AZR4" s="2"/>
      <c r="AZS4" s="2"/>
      <c r="AZT4" s="2"/>
      <c r="AZU4" s="2"/>
      <c r="AZV4" s="2"/>
      <c r="AZW4" s="2"/>
      <c r="AZX4" s="2"/>
      <c r="AZY4" s="2"/>
      <c r="AZZ4" s="2"/>
      <c r="BAA4" s="2"/>
      <c r="BAB4" s="2"/>
      <c r="BAC4" s="2"/>
      <c r="BAD4" s="2"/>
      <c r="BAE4" s="2"/>
      <c r="BAF4" s="2"/>
      <c r="BAG4" s="2"/>
      <c r="BAH4" s="2"/>
      <c r="BAI4" s="2"/>
      <c r="BAJ4" s="2"/>
      <c r="BAK4" s="2"/>
      <c r="BAL4" s="2"/>
      <c r="BAM4" s="2"/>
      <c r="BAN4" s="2"/>
      <c r="BAO4" s="2"/>
      <c r="BAP4" s="2"/>
      <c r="BAQ4" s="2"/>
      <c r="BAR4" s="2"/>
      <c r="BAS4" s="2"/>
      <c r="BAT4" s="2"/>
      <c r="BAU4" s="2"/>
      <c r="BAV4" s="2"/>
      <c r="BAW4" s="2"/>
      <c r="BAX4" s="2"/>
      <c r="BAY4" s="2"/>
      <c r="BAZ4" s="2"/>
      <c r="BBA4" s="2"/>
      <c r="BBB4" s="2"/>
      <c r="BBC4" s="2"/>
      <c r="BBD4" s="2"/>
      <c r="BBE4" s="2"/>
      <c r="BBF4" s="2"/>
      <c r="BBG4" s="2"/>
      <c r="BBH4" s="2"/>
      <c r="BBI4" s="2"/>
      <c r="BBJ4" s="2"/>
      <c r="BBK4" s="2"/>
      <c r="BBL4" s="2"/>
      <c r="BBM4" s="2"/>
      <c r="BBN4" s="2"/>
      <c r="BBO4" s="2"/>
      <c r="BBP4" s="2"/>
      <c r="BBQ4" s="2"/>
      <c r="BBR4" s="2"/>
      <c r="BBS4" s="2"/>
      <c r="BBT4" s="2"/>
      <c r="BBU4" s="2"/>
      <c r="BBV4" s="2"/>
      <c r="BBW4" s="2"/>
      <c r="BBX4" s="2"/>
      <c r="BBY4" s="2"/>
      <c r="BBZ4" s="2"/>
      <c r="BCA4" s="2"/>
      <c r="BCB4" s="2"/>
      <c r="BCC4" s="2"/>
      <c r="BCD4" s="2"/>
      <c r="BCE4" s="2"/>
      <c r="BCF4" s="2"/>
      <c r="BCG4" s="2"/>
      <c r="BCH4" s="2"/>
      <c r="BCI4" s="2"/>
      <c r="BCJ4" s="2"/>
      <c r="BCK4" s="2"/>
      <c r="BCL4" s="2"/>
      <c r="BCM4" s="2"/>
      <c r="BCN4" s="2"/>
      <c r="BCO4" s="2"/>
      <c r="BCP4" s="2"/>
      <c r="BCQ4" s="2"/>
      <c r="BCR4" s="2"/>
      <c r="BCS4" s="2"/>
      <c r="BCT4" s="2"/>
      <c r="BCU4" s="2"/>
      <c r="BCV4" s="2"/>
      <c r="BCW4" s="2"/>
      <c r="BCX4" s="2"/>
      <c r="BCY4" s="2"/>
      <c r="BCZ4" s="2"/>
      <c r="BDA4" s="2"/>
      <c r="BDB4" s="2"/>
      <c r="BDC4" s="2"/>
      <c r="BDD4" s="2"/>
      <c r="BDE4" s="2"/>
      <c r="BDF4" s="2"/>
      <c r="BDG4" s="2"/>
      <c r="BDH4" s="2"/>
      <c r="BDI4" s="2"/>
      <c r="BDJ4" s="2"/>
      <c r="BDK4" s="2"/>
      <c r="BDL4" s="2"/>
      <c r="BDM4" s="2"/>
      <c r="BDN4" s="2"/>
      <c r="BDO4" s="2"/>
      <c r="BDP4" s="2"/>
      <c r="BDQ4" s="2"/>
      <c r="BDR4" s="2"/>
      <c r="BDS4" s="2"/>
      <c r="BDT4" s="2"/>
      <c r="BDU4" s="2"/>
      <c r="BDV4" s="2"/>
      <c r="BDW4" s="2"/>
      <c r="BDX4" s="2"/>
      <c r="BDY4" s="2"/>
      <c r="BDZ4" s="2"/>
      <c r="BEA4" s="2"/>
      <c r="BEB4" s="2"/>
      <c r="BEC4" s="2"/>
      <c r="BED4" s="2"/>
      <c r="BEE4" s="2"/>
      <c r="BEF4" s="2"/>
      <c r="BEG4" s="2"/>
      <c r="BEH4" s="2"/>
      <c r="BEI4" s="2"/>
      <c r="BEJ4" s="2"/>
      <c r="BEK4" s="2"/>
      <c r="BEL4" s="2"/>
      <c r="BEM4" s="2"/>
      <c r="BEN4" s="2"/>
      <c r="BEO4" s="2"/>
      <c r="BEP4" s="2"/>
      <c r="BEQ4" s="2"/>
      <c r="BER4" s="2"/>
      <c r="BES4" s="2"/>
      <c r="BET4" s="2"/>
      <c r="BEU4" s="2"/>
      <c r="BEV4" s="2"/>
      <c r="BEW4" s="2"/>
      <c r="BEX4" s="2"/>
      <c r="BEY4" s="2"/>
      <c r="BEZ4" s="2"/>
      <c r="BFA4" s="2"/>
      <c r="BFB4" s="2"/>
      <c r="BFC4" s="2"/>
      <c r="BFD4" s="2"/>
      <c r="BFE4" s="2"/>
      <c r="BFF4" s="2"/>
      <c r="BFG4" s="2"/>
      <c r="BFH4" s="2"/>
      <c r="BFI4" s="2"/>
      <c r="BFJ4" s="2"/>
      <c r="BFK4" s="2"/>
      <c r="BFL4" s="2"/>
      <c r="BFM4" s="2"/>
      <c r="BFN4" s="2"/>
      <c r="BFO4" s="2"/>
      <c r="BFP4" s="2"/>
      <c r="BFQ4" s="2"/>
      <c r="BFR4" s="2"/>
      <c r="BFS4" s="2"/>
      <c r="BFT4" s="2"/>
      <c r="BFU4" s="2"/>
      <c r="BFV4" s="2"/>
      <c r="BFW4" s="2"/>
      <c r="BFX4" s="2"/>
      <c r="BFY4" s="2"/>
      <c r="BFZ4" s="2"/>
      <c r="BGA4" s="2"/>
      <c r="BGB4" s="2"/>
      <c r="BGC4" s="2"/>
      <c r="BGD4" s="2"/>
      <c r="BGE4" s="2"/>
      <c r="BGF4" s="2"/>
      <c r="BGG4" s="2"/>
      <c r="BGH4" s="2"/>
      <c r="BGI4" s="2"/>
      <c r="BGJ4" s="2"/>
      <c r="BGK4" s="2"/>
      <c r="BGL4" s="2"/>
      <c r="BGM4" s="2"/>
      <c r="BGN4" s="2"/>
      <c r="BGO4" s="2"/>
      <c r="BGP4" s="2"/>
      <c r="BGQ4" s="2"/>
      <c r="BGR4" s="2"/>
      <c r="BGS4" s="2"/>
      <c r="BGT4" s="2"/>
      <c r="BGU4" s="2"/>
      <c r="BGV4" s="2"/>
      <c r="BGW4" s="2"/>
      <c r="BGX4" s="2"/>
      <c r="BGY4" s="2"/>
      <c r="BGZ4" s="2"/>
      <c r="BHA4" s="2"/>
      <c r="BHB4" s="2"/>
      <c r="BHC4" s="2"/>
      <c r="BHD4" s="2"/>
      <c r="BHE4" s="2"/>
      <c r="BHF4" s="2"/>
      <c r="BHG4" s="2"/>
      <c r="BHH4" s="2"/>
      <c r="BHI4" s="2"/>
      <c r="BHJ4" s="2"/>
      <c r="BHK4" s="2"/>
      <c r="BHL4" s="2"/>
      <c r="BHM4" s="2"/>
      <c r="BHN4" s="2"/>
      <c r="BHO4" s="2"/>
      <c r="BHP4" s="2"/>
      <c r="BHQ4" s="2"/>
      <c r="BHR4" s="2"/>
      <c r="BHS4" s="2"/>
      <c r="BHT4" s="2"/>
      <c r="BHU4" s="2"/>
      <c r="BHV4" s="2"/>
      <c r="BHW4" s="2"/>
      <c r="BHX4" s="2"/>
      <c r="BHY4" s="2"/>
      <c r="BHZ4" s="2"/>
      <c r="BIA4" s="2"/>
      <c r="BIB4" s="2"/>
      <c r="BIC4" s="2"/>
      <c r="BID4" s="2"/>
      <c r="BIE4" s="2"/>
      <c r="BIF4" s="2"/>
      <c r="BIG4" s="2"/>
      <c r="BIH4" s="2"/>
      <c r="BII4" s="2"/>
      <c r="BIJ4" s="2"/>
      <c r="BIK4" s="2"/>
      <c r="BIL4" s="2"/>
      <c r="BIM4" s="2"/>
      <c r="BIN4" s="2"/>
      <c r="BIO4" s="2"/>
      <c r="BIP4" s="2"/>
      <c r="BIQ4" s="2"/>
      <c r="BIR4" s="2"/>
      <c r="BIS4" s="2"/>
      <c r="BIT4" s="2"/>
      <c r="BIU4" s="2"/>
      <c r="BIV4" s="2"/>
      <c r="BIW4" s="2"/>
      <c r="BIX4" s="2"/>
      <c r="BIY4" s="2"/>
      <c r="BIZ4" s="2"/>
      <c r="BJA4" s="2"/>
      <c r="BJB4" s="2"/>
      <c r="BJC4" s="2"/>
      <c r="BJD4" s="2"/>
      <c r="BJE4" s="2"/>
      <c r="BJF4" s="2"/>
      <c r="BJG4" s="2"/>
      <c r="BJH4" s="2"/>
      <c r="BJI4" s="2"/>
      <c r="BJJ4" s="2"/>
      <c r="BJK4" s="2"/>
      <c r="BJL4" s="2"/>
      <c r="BJM4" s="2"/>
      <c r="BJN4" s="2"/>
      <c r="BJO4" s="2"/>
      <c r="BJP4" s="2"/>
      <c r="BJQ4" s="2"/>
      <c r="BJR4" s="2"/>
      <c r="BJS4" s="2"/>
      <c r="BJT4" s="2"/>
      <c r="BJU4" s="2"/>
      <c r="BJV4" s="2"/>
      <c r="BJW4" s="2"/>
      <c r="BJX4" s="2"/>
      <c r="BJY4" s="2"/>
      <c r="BJZ4" s="2"/>
      <c r="BKA4" s="2"/>
      <c r="BKB4" s="2"/>
      <c r="BKC4" s="2"/>
      <c r="BKD4" s="2"/>
      <c r="BKE4" s="2"/>
      <c r="BKF4" s="2"/>
      <c r="BKG4" s="2"/>
      <c r="BKH4" s="2"/>
      <c r="BKI4" s="2"/>
      <c r="BKJ4" s="2"/>
      <c r="BKK4" s="2"/>
      <c r="BKL4" s="2"/>
      <c r="BKM4" s="2"/>
      <c r="BKN4" s="2"/>
      <c r="BKO4" s="2"/>
      <c r="BKP4" s="2"/>
      <c r="BKQ4" s="2"/>
      <c r="BKR4" s="2"/>
      <c r="BKS4" s="2"/>
      <c r="BKT4" s="2"/>
      <c r="BKU4" s="2"/>
      <c r="BKV4" s="2"/>
      <c r="BKW4" s="2"/>
      <c r="BKX4" s="2"/>
      <c r="BKY4" s="2"/>
      <c r="BKZ4" s="2"/>
      <c r="BLA4" s="2"/>
      <c r="BLB4" s="2"/>
      <c r="BLC4" s="2"/>
      <c r="BLD4" s="2"/>
      <c r="BLE4" s="2"/>
      <c r="BLF4" s="2"/>
      <c r="BLG4" s="2"/>
      <c r="BLH4" s="2"/>
      <c r="BLI4" s="2"/>
      <c r="BLJ4" s="2"/>
      <c r="BLK4" s="2"/>
      <c r="BLL4" s="2"/>
      <c r="BLM4" s="2"/>
      <c r="BLN4" s="2"/>
      <c r="BLO4" s="2"/>
      <c r="BLP4" s="2"/>
      <c r="BLQ4" s="2"/>
      <c r="BLR4" s="2"/>
      <c r="BLS4" s="2"/>
      <c r="BLT4" s="2"/>
      <c r="BLU4" s="2"/>
      <c r="BLV4" s="2"/>
      <c r="BLW4" s="2"/>
      <c r="BLX4" s="2"/>
      <c r="BLY4" s="2"/>
      <c r="BLZ4" s="2"/>
      <c r="BMA4" s="2"/>
      <c r="BMB4" s="2"/>
      <c r="BMC4" s="2"/>
      <c r="BMD4" s="2"/>
      <c r="BME4" s="2"/>
      <c r="BMF4" s="2"/>
      <c r="BMG4" s="2"/>
      <c r="BMH4" s="2"/>
      <c r="BMI4" s="2"/>
      <c r="BMJ4" s="2"/>
      <c r="BMK4" s="2"/>
      <c r="BML4" s="2"/>
      <c r="BMM4" s="2"/>
      <c r="BMN4" s="2"/>
      <c r="BMO4" s="2"/>
      <c r="BMP4" s="2"/>
      <c r="BMQ4" s="2"/>
      <c r="BMR4" s="2"/>
      <c r="BMS4" s="2"/>
      <c r="BMT4" s="2"/>
      <c r="BMU4" s="2"/>
      <c r="BMV4" s="2"/>
      <c r="BMW4" s="2"/>
      <c r="BMX4" s="2"/>
      <c r="BMY4" s="2"/>
      <c r="BMZ4" s="2"/>
      <c r="BNA4" s="2"/>
      <c r="BNB4" s="2"/>
      <c r="BNC4" s="2"/>
      <c r="BND4" s="2"/>
      <c r="BNE4" s="2"/>
      <c r="BNF4" s="2"/>
      <c r="BNG4" s="2"/>
      <c r="BNH4" s="2"/>
      <c r="BNI4" s="2"/>
      <c r="BNJ4" s="2"/>
      <c r="BNK4" s="2"/>
      <c r="BNL4" s="2"/>
      <c r="BNM4" s="2"/>
      <c r="BNN4" s="2"/>
      <c r="BNO4" s="2"/>
      <c r="BNP4" s="2"/>
      <c r="BNQ4" s="2"/>
      <c r="BNR4" s="2"/>
      <c r="BNS4" s="2"/>
      <c r="BNT4" s="2"/>
      <c r="BNU4" s="2"/>
      <c r="BNV4" s="2"/>
      <c r="BNW4" s="2"/>
      <c r="BNX4" s="2"/>
      <c r="BNY4" s="2"/>
      <c r="BNZ4" s="2"/>
      <c r="BOA4" s="2"/>
      <c r="BOB4" s="2"/>
      <c r="BOC4" s="2"/>
      <c r="BOD4" s="2"/>
      <c r="BOE4" s="2"/>
      <c r="BOF4" s="2"/>
      <c r="BOG4" s="2"/>
      <c r="BOH4" s="2"/>
      <c r="BOI4" s="2"/>
      <c r="BOJ4" s="2"/>
      <c r="BOK4" s="2"/>
      <c r="BOL4" s="2"/>
      <c r="BOM4" s="2"/>
      <c r="BON4" s="2"/>
      <c r="BOO4" s="2"/>
      <c r="BOP4" s="2"/>
      <c r="BOQ4" s="2"/>
      <c r="BOR4" s="2"/>
      <c r="BOS4" s="2"/>
      <c r="BOT4" s="2"/>
      <c r="BOU4" s="2"/>
      <c r="BOV4" s="2"/>
      <c r="BOW4" s="2"/>
      <c r="BOX4" s="2"/>
      <c r="BOY4" s="2"/>
      <c r="BOZ4" s="2"/>
      <c r="BPA4" s="2"/>
      <c r="BPB4" s="2"/>
      <c r="BPC4" s="2"/>
      <c r="BPD4" s="2"/>
      <c r="BPE4" s="2"/>
      <c r="BPF4" s="2"/>
      <c r="BPG4" s="2"/>
      <c r="BPH4" s="2"/>
      <c r="BPI4" s="2"/>
      <c r="BPJ4" s="2"/>
      <c r="BPK4" s="2"/>
      <c r="BPL4" s="2"/>
      <c r="BPM4" s="2"/>
      <c r="BPN4" s="2"/>
      <c r="BPO4" s="2"/>
      <c r="BPP4" s="2"/>
      <c r="BPQ4" s="2"/>
      <c r="BPR4" s="2"/>
      <c r="BPS4" s="2"/>
      <c r="BPT4" s="2"/>
      <c r="BPU4" s="2"/>
      <c r="BPV4" s="2"/>
      <c r="BPW4" s="2"/>
      <c r="BPX4" s="2"/>
      <c r="BPY4" s="2"/>
      <c r="BPZ4" s="2"/>
      <c r="BQA4" s="2"/>
      <c r="BQB4" s="2"/>
      <c r="BQC4" s="2"/>
      <c r="BQD4" s="2"/>
      <c r="BQE4" s="2"/>
      <c r="BQF4" s="2"/>
      <c r="BQG4" s="2"/>
      <c r="BQH4" s="2"/>
      <c r="BQI4" s="2"/>
      <c r="BQJ4" s="2"/>
      <c r="BQK4" s="2"/>
      <c r="BQL4" s="2"/>
      <c r="BQM4" s="2"/>
      <c r="BQN4" s="2"/>
      <c r="BQO4" s="2"/>
      <c r="BQP4" s="2"/>
      <c r="BQQ4" s="2"/>
      <c r="BQR4" s="2"/>
      <c r="BQS4" s="2"/>
      <c r="BQT4" s="2"/>
      <c r="BQU4" s="2"/>
      <c r="BQV4" s="2"/>
      <c r="BQW4" s="2"/>
      <c r="BQX4" s="2"/>
      <c r="BQY4" s="2"/>
      <c r="BQZ4" s="2"/>
      <c r="BRA4" s="2"/>
      <c r="BRB4" s="2"/>
      <c r="BRC4" s="2"/>
      <c r="BRD4" s="2"/>
      <c r="BRE4" s="2"/>
      <c r="BRF4" s="2"/>
      <c r="BRG4" s="2"/>
      <c r="BRH4" s="2"/>
      <c r="BRI4" s="2"/>
      <c r="BRJ4" s="2"/>
      <c r="BRK4" s="2"/>
      <c r="BRL4" s="2"/>
      <c r="BRM4" s="2"/>
      <c r="BRN4" s="2"/>
      <c r="BRO4" s="2"/>
      <c r="BRP4" s="2"/>
      <c r="BRQ4" s="2"/>
      <c r="BRR4" s="2"/>
      <c r="BRS4" s="2"/>
      <c r="BRT4" s="2"/>
      <c r="BRU4" s="2"/>
      <c r="BRV4" s="2"/>
      <c r="BRW4" s="2"/>
      <c r="BRX4" s="2"/>
      <c r="BRY4" s="2"/>
      <c r="BRZ4" s="2"/>
      <c r="BSA4" s="2"/>
      <c r="BSB4" s="2"/>
      <c r="BSC4" s="2"/>
      <c r="BSD4" s="2"/>
      <c r="BSE4" s="2"/>
      <c r="BSF4" s="2"/>
      <c r="BSG4" s="2"/>
      <c r="BSH4" s="2"/>
      <c r="BSI4" s="2"/>
      <c r="BSJ4" s="2"/>
      <c r="BSK4" s="2"/>
      <c r="BSL4" s="2"/>
      <c r="BSM4" s="2"/>
      <c r="BSN4" s="2"/>
      <c r="BSO4" s="2"/>
      <c r="BSP4" s="2"/>
      <c r="BSQ4" s="2"/>
      <c r="BSR4" s="2"/>
      <c r="BSS4" s="2"/>
      <c r="BST4" s="2"/>
      <c r="BSU4" s="2"/>
      <c r="BSV4" s="2"/>
      <c r="BSW4" s="2"/>
      <c r="BSX4" s="2"/>
      <c r="BSY4" s="2"/>
      <c r="BSZ4" s="2"/>
      <c r="BTA4" s="2"/>
      <c r="BTB4" s="2"/>
      <c r="BTC4" s="2"/>
      <c r="BTD4" s="2"/>
      <c r="BTE4" s="2"/>
      <c r="BTF4" s="2"/>
      <c r="BTG4" s="2"/>
      <c r="BTH4" s="2"/>
      <c r="BTI4" s="2"/>
      <c r="BTJ4" s="2"/>
      <c r="BTK4" s="2"/>
      <c r="BTL4" s="2"/>
      <c r="BTM4" s="2"/>
      <c r="BTN4" s="2"/>
      <c r="BTO4" s="2"/>
      <c r="BTP4" s="2"/>
      <c r="BTQ4" s="2"/>
      <c r="BTR4" s="2"/>
      <c r="BTS4" s="2"/>
      <c r="BTT4" s="2"/>
      <c r="BTU4" s="2"/>
      <c r="BTV4" s="2"/>
      <c r="BTW4" s="2"/>
      <c r="BTX4" s="2"/>
      <c r="BTY4" s="2"/>
      <c r="BTZ4" s="2"/>
      <c r="BUA4" s="2"/>
      <c r="BUB4" s="2"/>
      <c r="BUC4" s="2"/>
      <c r="BUD4" s="2"/>
      <c r="BUE4" s="2"/>
      <c r="BUF4" s="2"/>
      <c r="BUG4" s="2"/>
      <c r="BUH4" s="2"/>
      <c r="BUI4" s="2"/>
      <c r="BUJ4" s="2"/>
      <c r="BUK4" s="2"/>
      <c r="BUL4" s="2"/>
      <c r="BUM4" s="2"/>
      <c r="BUN4" s="2"/>
      <c r="BUO4" s="2"/>
      <c r="BUP4" s="2"/>
      <c r="BUQ4" s="2"/>
      <c r="BUR4" s="2"/>
      <c r="BUS4" s="2"/>
      <c r="BUT4" s="2"/>
      <c r="BUU4" s="2"/>
      <c r="BUV4" s="2"/>
      <c r="BUW4" s="2"/>
      <c r="BUX4" s="2"/>
      <c r="BUY4" s="2"/>
      <c r="BUZ4" s="2"/>
      <c r="BVA4" s="2"/>
      <c r="BVB4" s="2"/>
      <c r="BVC4" s="2"/>
      <c r="BVD4" s="2"/>
      <c r="BVE4" s="2"/>
      <c r="BVF4" s="2"/>
      <c r="BVG4" s="2"/>
      <c r="BVH4" s="2"/>
      <c r="BVI4" s="2"/>
      <c r="BVJ4" s="2"/>
      <c r="BVK4" s="2"/>
      <c r="BVL4" s="2"/>
      <c r="BVM4" s="2"/>
      <c r="BVN4" s="2"/>
      <c r="BVO4" s="2"/>
      <c r="BVP4" s="2"/>
      <c r="BVQ4" s="2"/>
      <c r="BVR4" s="2"/>
      <c r="BVS4" s="2"/>
      <c r="BVT4" s="2"/>
      <c r="BVU4" s="2"/>
      <c r="BVV4" s="2"/>
      <c r="BVW4" s="2"/>
      <c r="BVX4" s="2"/>
      <c r="BVY4" s="2"/>
      <c r="BVZ4" s="2"/>
      <c r="BWA4" s="2"/>
      <c r="BWB4" s="2"/>
      <c r="BWC4" s="2"/>
      <c r="BWD4" s="2"/>
      <c r="BWE4" s="2"/>
      <c r="BWF4" s="2"/>
      <c r="BWG4" s="2"/>
      <c r="BWH4" s="2"/>
      <c r="BWI4" s="2"/>
      <c r="BWJ4" s="2"/>
      <c r="BWK4" s="2"/>
      <c r="BWL4" s="2"/>
      <c r="BWM4" s="2"/>
      <c r="BWN4" s="2"/>
      <c r="BWO4" s="2"/>
      <c r="BWP4" s="2"/>
      <c r="BWQ4" s="2"/>
      <c r="BWR4" s="2"/>
      <c r="BWS4" s="2"/>
      <c r="BWT4" s="2"/>
      <c r="BWU4" s="2"/>
      <c r="BWV4" s="2"/>
      <c r="BWW4" s="2"/>
      <c r="BWX4" s="2"/>
      <c r="BWY4" s="2"/>
      <c r="BWZ4" s="2"/>
      <c r="BXA4" s="2"/>
      <c r="BXB4" s="2"/>
      <c r="BXC4" s="2"/>
      <c r="BXD4" s="2"/>
      <c r="BXE4" s="2"/>
      <c r="BXF4" s="2"/>
      <c r="BXG4" s="2"/>
      <c r="BXH4" s="2"/>
      <c r="BXI4" s="2"/>
      <c r="BXJ4" s="2"/>
      <c r="BXK4" s="2"/>
      <c r="BXL4" s="2"/>
      <c r="BXM4" s="2"/>
      <c r="BXN4" s="2"/>
      <c r="BXO4" s="2"/>
      <c r="BXP4" s="2"/>
      <c r="BXQ4" s="2"/>
      <c r="BXR4" s="2"/>
      <c r="BXS4" s="2"/>
      <c r="BXT4" s="2"/>
      <c r="BXU4" s="2"/>
      <c r="BXV4" s="2"/>
      <c r="BXW4" s="2"/>
      <c r="BXX4" s="2"/>
      <c r="BXY4" s="2"/>
      <c r="BXZ4" s="2"/>
      <c r="BYA4" s="2"/>
      <c r="BYB4" s="2"/>
      <c r="BYC4" s="2"/>
      <c r="BYD4" s="2"/>
      <c r="BYE4" s="2"/>
      <c r="BYF4" s="2"/>
      <c r="BYG4" s="2"/>
      <c r="BYH4" s="2"/>
      <c r="BYI4" s="2"/>
      <c r="BYJ4" s="2"/>
      <c r="BYK4" s="2"/>
      <c r="BYL4" s="2"/>
      <c r="BYM4" s="2"/>
      <c r="BYN4" s="2"/>
      <c r="BYO4" s="2"/>
      <c r="BYP4" s="2"/>
      <c r="BYQ4" s="2"/>
      <c r="BYR4" s="2"/>
      <c r="BYS4" s="2"/>
      <c r="BYT4" s="2"/>
      <c r="BYU4" s="2"/>
      <c r="BYV4" s="2"/>
      <c r="BYW4" s="2"/>
      <c r="BYX4" s="2"/>
      <c r="BYY4" s="2"/>
      <c r="BYZ4" s="2"/>
      <c r="BZA4" s="2"/>
      <c r="BZB4" s="2"/>
      <c r="BZC4" s="2"/>
      <c r="BZD4" s="2"/>
      <c r="BZE4" s="2"/>
      <c r="BZF4" s="2"/>
      <c r="BZG4" s="2"/>
      <c r="BZH4" s="2"/>
      <c r="BZI4" s="2"/>
      <c r="BZJ4" s="2"/>
      <c r="BZK4" s="2"/>
      <c r="BZL4" s="2"/>
      <c r="BZM4" s="2"/>
      <c r="BZN4" s="2"/>
      <c r="BZO4" s="2"/>
      <c r="BZP4" s="2"/>
      <c r="BZQ4" s="2"/>
      <c r="BZR4" s="2"/>
      <c r="BZS4" s="2"/>
      <c r="BZT4" s="2"/>
      <c r="BZU4" s="2"/>
      <c r="BZV4" s="2"/>
      <c r="BZW4" s="2"/>
      <c r="BZX4" s="2"/>
      <c r="BZY4" s="2"/>
      <c r="BZZ4" s="2"/>
      <c r="CAA4" s="2"/>
      <c r="CAB4" s="2"/>
      <c r="CAC4" s="2"/>
      <c r="CAD4" s="2"/>
      <c r="CAE4" s="2"/>
      <c r="CAF4" s="2"/>
      <c r="CAG4" s="2"/>
      <c r="CAH4" s="2"/>
      <c r="CAI4" s="2"/>
      <c r="CAJ4" s="2"/>
      <c r="CAK4" s="2"/>
      <c r="CAL4" s="2"/>
      <c r="CAM4" s="2"/>
      <c r="CAN4" s="2"/>
      <c r="CAO4" s="2"/>
      <c r="CAP4" s="2"/>
      <c r="CAQ4" s="2"/>
      <c r="CAR4" s="2"/>
      <c r="CAS4" s="2"/>
      <c r="CAT4" s="2"/>
      <c r="CAU4" s="2"/>
      <c r="CAV4" s="2"/>
      <c r="CAW4" s="2"/>
      <c r="CAX4" s="2"/>
      <c r="CAY4" s="2"/>
      <c r="CAZ4" s="2"/>
      <c r="CBA4" s="2"/>
      <c r="CBB4" s="2"/>
      <c r="CBC4" s="2"/>
      <c r="CBD4" s="2"/>
      <c r="CBE4" s="2"/>
      <c r="CBF4" s="2"/>
      <c r="CBG4" s="2"/>
      <c r="CBH4" s="2"/>
      <c r="CBI4" s="2"/>
      <c r="CBJ4" s="2"/>
      <c r="CBK4" s="2"/>
      <c r="CBL4" s="2"/>
      <c r="CBM4" s="2"/>
      <c r="CBN4" s="2"/>
      <c r="CBO4" s="2"/>
      <c r="CBP4" s="2"/>
      <c r="CBQ4" s="2"/>
      <c r="CBR4" s="2"/>
      <c r="CBS4" s="2"/>
      <c r="CBT4" s="2"/>
      <c r="CBU4" s="2"/>
      <c r="CBV4" s="2"/>
      <c r="CBW4" s="2"/>
      <c r="CBX4" s="2"/>
      <c r="CBY4" s="2"/>
      <c r="CBZ4" s="2"/>
      <c r="CCA4" s="2"/>
      <c r="CCB4" s="2"/>
      <c r="CCC4" s="2"/>
      <c r="CCD4" s="2"/>
      <c r="CCE4" s="2"/>
      <c r="CCF4" s="2"/>
      <c r="CCG4" s="2"/>
      <c r="CCH4" s="2"/>
      <c r="CCI4" s="2"/>
      <c r="CCJ4" s="2"/>
      <c r="CCK4" s="2"/>
      <c r="CCL4" s="2"/>
      <c r="CCM4" s="2"/>
      <c r="CCN4" s="2"/>
      <c r="CCO4" s="2"/>
      <c r="CCP4" s="2"/>
      <c r="CCQ4" s="2"/>
      <c r="CCR4" s="2"/>
      <c r="CCS4" s="2"/>
      <c r="CCT4" s="2"/>
      <c r="CCU4" s="2"/>
      <c r="CCV4" s="2"/>
      <c r="CCW4" s="2"/>
      <c r="CCX4" s="2"/>
      <c r="CCY4" s="2"/>
      <c r="CCZ4" s="2"/>
      <c r="CDA4" s="2"/>
      <c r="CDB4" s="2"/>
      <c r="CDC4" s="2"/>
      <c r="CDD4" s="2"/>
      <c r="CDE4" s="2"/>
      <c r="CDF4" s="2"/>
      <c r="CDG4" s="2"/>
      <c r="CDH4" s="2"/>
      <c r="CDI4" s="2"/>
      <c r="CDJ4" s="2"/>
      <c r="CDK4" s="2"/>
      <c r="CDL4" s="2"/>
      <c r="CDM4" s="2"/>
      <c r="CDN4" s="2"/>
      <c r="CDO4" s="2"/>
      <c r="CDP4" s="2"/>
      <c r="CDQ4" s="2"/>
      <c r="CDR4" s="2"/>
      <c r="CDS4" s="2"/>
      <c r="CDT4" s="2"/>
      <c r="CDU4" s="2"/>
      <c r="CDV4" s="2"/>
      <c r="CDW4" s="2"/>
      <c r="CDX4" s="2"/>
      <c r="CDY4" s="2"/>
      <c r="CDZ4" s="2"/>
      <c r="CEA4" s="2"/>
      <c r="CEB4" s="2"/>
      <c r="CEC4" s="2"/>
      <c r="CED4" s="2"/>
      <c r="CEE4" s="2"/>
      <c r="CEF4" s="2"/>
      <c r="CEG4" s="2"/>
      <c r="CEH4" s="2"/>
      <c r="CEI4" s="2"/>
      <c r="CEJ4" s="2"/>
      <c r="CEK4" s="2"/>
      <c r="CEL4" s="2"/>
      <c r="CEM4" s="2"/>
      <c r="CEN4" s="2"/>
      <c r="CEO4" s="2"/>
      <c r="CEP4" s="2"/>
      <c r="CEQ4" s="2"/>
      <c r="CER4" s="2"/>
      <c r="CES4" s="2"/>
      <c r="CET4" s="2"/>
      <c r="CEU4" s="2"/>
      <c r="CEV4" s="2"/>
      <c r="CEW4" s="2"/>
      <c r="CEX4" s="2"/>
      <c r="CEY4" s="2"/>
      <c r="CEZ4" s="2"/>
      <c r="CFA4" s="2"/>
      <c r="CFB4" s="2"/>
      <c r="CFC4" s="2"/>
      <c r="CFD4" s="2"/>
      <c r="CFE4" s="2"/>
      <c r="CFF4" s="2"/>
      <c r="CFG4" s="2"/>
      <c r="CFH4" s="2"/>
      <c r="CFI4" s="2"/>
      <c r="CFJ4" s="2"/>
      <c r="CFK4" s="2"/>
      <c r="CFL4" s="2"/>
      <c r="CFM4" s="2"/>
      <c r="CFN4" s="2"/>
      <c r="CFO4" s="2"/>
      <c r="CFP4" s="2"/>
      <c r="CFQ4" s="2"/>
      <c r="CFR4" s="2"/>
      <c r="CFS4" s="2"/>
      <c r="CFT4" s="2"/>
      <c r="CFU4" s="2"/>
      <c r="CFV4" s="2"/>
      <c r="CFW4" s="2"/>
      <c r="CFX4" s="2"/>
      <c r="CFY4" s="2"/>
      <c r="CFZ4" s="2"/>
      <c r="CGA4" s="2"/>
      <c r="CGB4" s="2"/>
      <c r="CGC4" s="2"/>
      <c r="CGD4" s="2"/>
      <c r="CGE4" s="2"/>
      <c r="CGF4" s="2"/>
      <c r="CGG4" s="2"/>
      <c r="CGH4" s="2"/>
      <c r="CGI4" s="2"/>
      <c r="CGJ4" s="2"/>
      <c r="CGK4" s="2"/>
      <c r="CGL4" s="2"/>
      <c r="CGM4" s="2"/>
      <c r="CGN4" s="2"/>
      <c r="CGO4" s="2"/>
      <c r="CGP4" s="2"/>
      <c r="CGQ4" s="2"/>
      <c r="CGR4" s="2"/>
      <c r="CGS4" s="2"/>
      <c r="CGT4" s="2"/>
      <c r="CGU4" s="2"/>
      <c r="CGV4" s="2"/>
      <c r="CGW4" s="2"/>
      <c r="CGX4" s="2"/>
      <c r="CGY4" s="2"/>
      <c r="CGZ4" s="2"/>
      <c r="CHA4" s="2"/>
      <c r="CHB4" s="2"/>
      <c r="CHC4" s="2"/>
      <c r="CHD4" s="2"/>
      <c r="CHE4" s="2"/>
      <c r="CHF4" s="2"/>
      <c r="CHG4" s="2"/>
      <c r="CHH4" s="2"/>
      <c r="CHI4" s="2"/>
      <c r="CHJ4" s="2"/>
      <c r="CHK4" s="2"/>
      <c r="CHL4" s="2"/>
      <c r="CHM4" s="2"/>
      <c r="CHN4" s="2"/>
      <c r="CHO4" s="2"/>
      <c r="CHP4" s="2"/>
      <c r="CHQ4" s="2"/>
      <c r="CHR4" s="2"/>
      <c r="CHS4" s="2"/>
      <c r="CHT4" s="2"/>
      <c r="CHU4" s="2"/>
      <c r="CHV4" s="2"/>
      <c r="CHW4" s="2"/>
      <c r="CHX4" s="2"/>
      <c r="CHY4" s="2"/>
      <c r="CHZ4" s="2"/>
      <c r="CIA4" s="2"/>
      <c r="CIB4" s="2"/>
      <c r="CIC4" s="2"/>
      <c r="CID4" s="2"/>
      <c r="CIE4" s="2"/>
      <c r="CIF4" s="2"/>
      <c r="CIG4" s="2"/>
      <c r="CIH4" s="2"/>
      <c r="CII4" s="2"/>
      <c r="CIJ4" s="2"/>
      <c r="CIK4" s="2"/>
      <c r="CIL4" s="2"/>
      <c r="CIM4" s="2"/>
      <c r="CIN4" s="2"/>
      <c r="CIO4" s="2"/>
      <c r="CIP4" s="2"/>
      <c r="CIQ4" s="2"/>
      <c r="CIR4" s="2"/>
      <c r="CIS4" s="2"/>
      <c r="CIT4" s="2"/>
      <c r="CIU4" s="2"/>
      <c r="CIV4" s="2"/>
      <c r="CIW4" s="2"/>
      <c r="CIX4" s="2"/>
      <c r="CIY4" s="2"/>
      <c r="CIZ4" s="2"/>
      <c r="CJA4" s="2"/>
      <c r="CJB4" s="2"/>
      <c r="CJC4" s="2"/>
      <c r="CJD4" s="2"/>
      <c r="CJE4" s="2"/>
      <c r="CJF4" s="2"/>
      <c r="CJG4" s="2"/>
      <c r="CJH4" s="2"/>
      <c r="CJI4" s="2"/>
      <c r="CJJ4" s="2"/>
      <c r="CJK4" s="2"/>
      <c r="CJL4" s="2"/>
      <c r="CJM4" s="2"/>
      <c r="CJN4" s="2"/>
      <c r="CJO4" s="2"/>
      <c r="CJP4" s="2"/>
      <c r="CJQ4" s="2"/>
      <c r="CJR4" s="2"/>
      <c r="CJS4" s="2"/>
      <c r="CJT4" s="2"/>
      <c r="CJU4" s="2"/>
      <c r="CJV4" s="2"/>
      <c r="CJW4" s="2"/>
      <c r="CJX4" s="2"/>
    </row>
    <row r="5" spans="1:2312" ht="40.5" customHeight="1" x14ac:dyDescent="0.25">
      <c r="A5" s="389">
        <v>1</v>
      </c>
      <c r="B5" s="740">
        <v>60121223</v>
      </c>
      <c r="C5" s="751" t="s">
        <v>817</v>
      </c>
      <c r="D5" s="750" t="s">
        <v>818</v>
      </c>
      <c r="E5" s="748" t="s">
        <v>290</v>
      </c>
      <c r="F5" s="746" t="s">
        <v>819</v>
      </c>
      <c r="G5" s="740">
        <v>1</v>
      </c>
      <c r="H5" s="71" t="s">
        <v>820</v>
      </c>
      <c r="I5" s="32">
        <f>IFERROR(K5/((100+J5)/100),"")</f>
        <v>64112.934634873956</v>
      </c>
      <c r="J5" s="33">
        <f t="shared" ref="J5:J68" si="0">IF(K5="","",(K5-(K5/1.19))/(K5/1.19)*100)</f>
        <v>18.999999999999993</v>
      </c>
      <c r="K5" s="195">
        <v>76294.392215500004</v>
      </c>
      <c r="L5" s="85">
        <f>IF(I5="","",(K5)*$G$5)</f>
        <v>76294.392215500004</v>
      </c>
      <c r="M5" s="744">
        <f>IFERROR(AVERAGE(L5:L6),"")</f>
        <v>61542.001107750002</v>
      </c>
      <c r="N5" s="708">
        <f>IFERROR(HARMEAN(L5:L6),"")</f>
        <v>58005.66755540124</v>
      </c>
      <c r="O5" s="708">
        <f>IFERROR(MEDIAN(L5:L6),"")</f>
        <v>61542.001107750002</v>
      </c>
      <c r="P5" s="25">
        <f t="shared" ref="P5:P68" si="1">IF(L5="","",L5)</f>
        <v>76294.392215500004</v>
      </c>
      <c r="Q5" s="709">
        <f>IFERROR(SUM(P5:P6)/COUNTA(K5:K6),"")</f>
        <v>61542.001107750002</v>
      </c>
      <c r="R5" s="710">
        <f>IFERROR(_xlfn.STDEV.S(L5:L6),"")</f>
        <v>20863.031582012303</v>
      </c>
      <c r="S5" s="691">
        <f>IFERROR(R5/M5,"")</f>
        <v>0.3390047643313473</v>
      </c>
      <c r="T5" s="692" t="s">
        <v>2075</v>
      </c>
      <c r="U5" s="694">
        <f>M5</f>
        <v>61542.001107750002</v>
      </c>
      <c r="V5" s="742" t="s">
        <v>821</v>
      </c>
      <c r="W5" s="189" t="s">
        <v>822</v>
      </c>
    </row>
    <row r="6" spans="1:2312" ht="40.5" customHeight="1" x14ac:dyDescent="0.3">
      <c r="A6" s="476"/>
      <c r="B6" s="698"/>
      <c r="C6" s="700"/>
      <c r="D6" s="702"/>
      <c r="E6" s="749"/>
      <c r="F6" s="747"/>
      <c r="G6" s="698"/>
      <c r="H6" s="69" t="s">
        <v>823</v>
      </c>
      <c r="I6" s="32">
        <f t="shared" ref="I6:I69" si="2">IFERROR(K6/((100+J6)/100),"")</f>
        <v>39319</v>
      </c>
      <c r="J6" s="33">
        <f t="shared" si="0"/>
        <v>19</v>
      </c>
      <c r="K6" s="195">
        <f>(39319*19%)+39319</f>
        <v>46789.61</v>
      </c>
      <c r="L6" s="85">
        <f t="shared" ref="L6" si="3">IF(I6="","",(K6)*$G$5)</f>
        <v>46789.61</v>
      </c>
      <c r="M6" s="745"/>
      <c r="N6" s="737"/>
      <c r="O6" s="737"/>
      <c r="P6" s="25">
        <f t="shared" si="1"/>
        <v>46789.61</v>
      </c>
      <c r="Q6" s="738"/>
      <c r="R6" s="734"/>
      <c r="S6" s="739"/>
      <c r="T6" s="711"/>
      <c r="U6" s="735"/>
      <c r="V6" s="743"/>
      <c r="W6" s="190" t="s">
        <v>824</v>
      </c>
    </row>
    <row r="7" spans="1:2312" ht="40.5" customHeight="1" x14ac:dyDescent="0.3">
      <c r="A7" s="496">
        <v>2</v>
      </c>
      <c r="B7" s="697">
        <v>60121223</v>
      </c>
      <c r="C7" s="699" t="s">
        <v>825</v>
      </c>
      <c r="D7" s="701" t="s">
        <v>826</v>
      </c>
      <c r="E7" s="713" t="s">
        <v>141</v>
      </c>
      <c r="F7" s="704" t="s">
        <v>827</v>
      </c>
      <c r="G7" s="697">
        <v>1</v>
      </c>
      <c r="H7" s="71" t="s">
        <v>828</v>
      </c>
      <c r="I7" s="32">
        <f t="shared" si="2"/>
        <v>104900</v>
      </c>
      <c r="J7" s="33">
        <f t="shared" si="0"/>
        <v>19</v>
      </c>
      <c r="K7" s="195">
        <f>(104900*19%)+104900</f>
        <v>124831</v>
      </c>
      <c r="L7" s="85">
        <f>IF(I7="","",(K7)*$G$7)</f>
        <v>124831</v>
      </c>
      <c r="M7" s="705">
        <f>IFERROR(AVERAGE(L7:L8),"")</f>
        <v>139297.18145</v>
      </c>
      <c r="N7" s="707">
        <f>IFERROR(HARMEAN(L7:L8),"")</f>
        <v>137794.85093931816</v>
      </c>
      <c r="O7" s="707">
        <f>IFERROR(MEDIAN(L7:L8),"")</f>
        <v>139297.18145</v>
      </c>
      <c r="P7" s="25">
        <f t="shared" si="1"/>
        <v>124831</v>
      </c>
      <c r="Q7" s="544">
        <f>IFERROR(SUM(P7:P8)/COUNTA(K7:K8),"")</f>
        <v>139297.18145</v>
      </c>
      <c r="R7" s="542">
        <f>IFERROR(_xlfn.STDEV.S(L7:L8),"")</f>
        <v>20458.270002340068</v>
      </c>
      <c r="S7" s="545">
        <f>IFERROR(R7/M7,"")</f>
        <v>0.14686779581167231</v>
      </c>
      <c r="T7" s="692" t="s">
        <v>2076</v>
      </c>
      <c r="U7" s="540">
        <f>M7</f>
        <v>139297.18145</v>
      </c>
      <c r="V7" s="695" t="s">
        <v>829</v>
      </c>
      <c r="W7" s="191" t="s">
        <v>830</v>
      </c>
    </row>
    <row r="8" spans="1:2312" ht="40.5" customHeight="1" x14ac:dyDescent="0.3">
      <c r="A8" s="496"/>
      <c r="B8" s="697"/>
      <c r="C8" s="699"/>
      <c r="D8" s="701"/>
      <c r="E8" s="713"/>
      <c r="F8" s="704"/>
      <c r="G8" s="697"/>
      <c r="H8" s="71" t="s">
        <v>831</v>
      </c>
      <c r="I8" s="32">
        <f t="shared" si="2"/>
        <v>129212.91000000002</v>
      </c>
      <c r="J8" s="33">
        <f t="shared" si="0"/>
        <v>18.999999999999989</v>
      </c>
      <c r="K8" s="195">
        <f>(129212.91*19%)+129212.91</f>
        <v>153763.36290000001</v>
      </c>
      <c r="L8" s="85">
        <f>IF(I8="","",(K8)*$G$7)</f>
        <v>153763.36290000001</v>
      </c>
      <c r="M8" s="705"/>
      <c r="N8" s="707"/>
      <c r="O8" s="707"/>
      <c r="P8" s="25">
        <f t="shared" si="1"/>
        <v>153763.36290000001</v>
      </c>
      <c r="Q8" s="544"/>
      <c r="R8" s="542"/>
      <c r="S8" s="545"/>
      <c r="T8" s="711"/>
      <c r="U8" s="540"/>
      <c r="V8" s="712"/>
      <c r="W8" s="190" t="s">
        <v>832</v>
      </c>
    </row>
    <row r="9" spans="1:2312" ht="40.5" customHeight="1" x14ac:dyDescent="0.3">
      <c r="A9" s="496">
        <v>3</v>
      </c>
      <c r="B9" s="697">
        <v>31211507</v>
      </c>
      <c r="C9" s="699" t="s">
        <v>833</v>
      </c>
      <c r="D9" s="701" t="s">
        <v>834</v>
      </c>
      <c r="E9" s="713" t="s">
        <v>79</v>
      </c>
      <c r="F9" s="704" t="s">
        <v>570</v>
      </c>
      <c r="G9" s="697">
        <v>1</v>
      </c>
      <c r="H9" s="69" t="s">
        <v>835</v>
      </c>
      <c r="I9" s="32">
        <f t="shared" si="2"/>
        <v>5800</v>
      </c>
      <c r="J9" s="33">
        <f t="shared" si="0"/>
        <v>19</v>
      </c>
      <c r="K9" s="195">
        <f>(5800*19%)+5800</f>
        <v>6902</v>
      </c>
      <c r="L9" s="85">
        <f>IF(I9="","",(K9)*$G$9)</f>
        <v>6902</v>
      </c>
      <c r="M9" s="705">
        <f>IFERROR(AVERAGE(L9:L10),"")</f>
        <v>8746.5</v>
      </c>
      <c r="N9" s="707">
        <f>IFERROR(HARMEAN(L9:L10),"")</f>
        <v>8357.5238095238092</v>
      </c>
      <c r="O9" s="707">
        <f>IFERROR(MEDIAN(L9:L10),"")</f>
        <v>8746.5</v>
      </c>
      <c r="P9" s="25">
        <f t="shared" si="1"/>
        <v>6902</v>
      </c>
      <c r="Q9" s="544">
        <f>IFERROR(SUM(P9:P10)/COUNTA(K9:K10),"")</f>
        <v>8746.5</v>
      </c>
      <c r="R9" s="542">
        <f>IFERROR(_xlfn.STDEV.S(L9:L10),"")</f>
        <v>2608.5169157971736</v>
      </c>
      <c r="S9" s="545">
        <f>IFERROR(R9/M9,"")</f>
        <v>0.29823551315350982</v>
      </c>
      <c r="T9" s="692" t="s">
        <v>2076</v>
      </c>
      <c r="U9" s="540">
        <f>M9</f>
        <v>8746.5</v>
      </c>
      <c r="V9" s="695" t="s">
        <v>836</v>
      </c>
      <c r="W9" s="191" t="s">
        <v>837</v>
      </c>
    </row>
    <row r="10" spans="1:2312" ht="40.5" customHeight="1" x14ac:dyDescent="0.3">
      <c r="A10" s="496"/>
      <c r="B10" s="697"/>
      <c r="C10" s="699"/>
      <c r="D10" s="701"/>
      <c r="E10" s="713"/>
      <c r="F10" s="704"/>
      <c r="G10" s="697"/>
      <c r="H10" s="69" t="s">
        <v>838</v>
      </c>
      <c r="I10" s="32">
        <f t="shared" si="2"/>
        <v>8900</v>
      </c>
      <c r="J10" s="33">
        <f t="shared" si="0"/>
        <v>19</v>
      </c>
      <c r="K10" s="195">
        <f>(8900*19%)+8900</f>
        <v>10591</v>
      </c>
      <c r="L10" s="85">
        <f>IF(I10="","",(K10)*$G$9)</f>
        <v>10591</v>
      </c>
      <c r="M10" s="705"/>
      <c r="N10" s="707"/>
      <c r="O10" s="707"/>
      <c r="P10" s="25">
        <f t="shared" si="1"/>
        <v>10591</v>
      </c>
      <c r="Q10" s="544"/>
      <c r="R10" s="542"/>
      <c r="S10" s="545"/>
      <c r="T10" s="711"/>
      <c r="U10" s="540"/>
      <c r="V10" s="712"/>
      <c r="W10" s="191" t="s">
        <v>839</v>
      </c>
    </row>
    <row r="11" spans="1:2312" ht="40.5" customHeight="1" x14ac:dyDescent="0.3">
      <c r="A11" s="496">
        <v>4</v>
      </c>
      <c r="B11" s="697">
        <v>54101513</v>
      </c>
      <c r="C11" s="699" t="s">
        <v>840</v>
      </c>
      <c r="D11" s="701" t="s">
        <v>841</v>
      </c>
      <c r="E11" s="713" t="s">
        <v>79</v>
      </c>
      <c r="F11" s="704" t="s">
        <v>570</v>
      </c>
      <c r="G11" s="697">
        <v>1</v>
      </c>
      <c r="H11" s="69" t="s">
        <v>842</v>
      </c>
      <c r="I11" s="32">
        <f t="shared" si="2"/>
        <v>20000</v>
      </c>
      <c r="J11" s="33">
        <f t="shared" si="0"/>
        <v>19</v>
      </c>
      <c r="K11" s="195">
        <f>(20000*19%)+20000</f>
        <v>23800</v>
      </c>
      <c r="L11" s="85">
        <f>IF(I11="","",(K11)*$G$11)</f>
        <v>23800</v>
      </c>
      <c r="M11" s="705">
        <f t="shared" ref="M11" si="4">IFERROR(AVERAGE(L11:L12),"")</f>
        <v>25823</v>
      </c>
      <c r="N11" s="707">
        <f>IFERROR(HARMEAN(L11:L12),"")</f>
        <v>25664.516129032258</v>
      </c>
      <c r="O11" s="707">
        <f>IFERROR(MEDIAN(L11:L12),"")</f>
        <v>25823</v>
      </c>
      <c r="P11" s="25">
        <f t="shared" si="1"/>
        <v>23800</v>
      </c>
      <c r="Q11" s="544">
        <f>IFERROR(SUM(P11:P12)/COUNTA(K11:K12),"")</f>
        <v>25823</v>
      </c>
      <c r="R11" s="542">
        <f>IFERROR(_xlfn.STDEV.S(L11:L12),"")</f>
        <v>2860.9540366807714</v>
      </c>
      <c r="S11" s="545">
        <f>IFERROR(R11/M11,"")</f>
        <v>0.11079092424121022</v>
      </c>
      <c r="T11" s="692" t="s">
        <v>2076</v>
      </c>
      <c r="U11" s="540">
        <f>M11</f>
        <v>25823</v>
      </c>
      <c r="V11" s="695" t="s">
        <v>843</v>
      </c>
      <c r="W11" s="191" t="s">
        <v>844</v>
      </c>
    </row>
    <row r="12" spans="1:2312" ht="40.5" customHeight="1" x14ac:dyDescent="0.3">
      <c r="A12" s="496"/>
      <c r="B12" s="697"/>
      <c r="C12" s="699"/>
      <c r="D12" s="701"/>
      <c r="E12" s="713"/>
      <c r="F12" s="704"/>
      <c r="G12" s="697"/>
      <c r="H12" s="69" t="s">
        <v>845</v>
      </c>
      <c r="I12" s="32">
        <f t="shared" si="2"/>
        <v>23400</v>
      </c>
      <c r="J12" s="33">
        <f t="shared" si="0"/>
        <v>19</v>
      </c>
      <c r="K12" s="195">
        <f>(23400*19%)+23400</f>
        <v>27846</v>
      </c>
      <c r="L12" s="85">
        <f>IF(I12="","",(K12)*$G$11)</f>
        <v>27846</v>
      </c>
      <c r="M12" s="705"/>
      <c r="N12" s="707"/>
      <c r="O12" s="707"/>
      <c r="P12" s="25">
        <f t="shared" si="1"/>
        <v>27846</v>
      </c>
      <c r="Q12" s="544"/>
      <c r="R12" s="542"/>
      <c r="S12" s="545"/>
      <c r="T12" s="711"/>
      <c r="U12" s="540"/>
      <c r="V12" s="712"/>
      <c r="W12" s="191" t="s">
        <v>846</v>
      </c>
    </row>
    <row r="13" spans="1:2312" ht="40.5" customHeight="1" x14ac:dyDescent="0.3">
      <c r="A13" s="496">
        <v>5</v>
      </c>
      <c r="B13" s="697">
        <v>54101513</v>
      </c>
      <c r="C13" s="699" t="s">
        <v>847</v>
      </c>
      <c r="D13" s="701" t="s">
        <v>848</v>
      </c>
      <c r="E13" s="713" t="s">
        <v>79</v>
      </c>
      <c r="F13" s="704" t="s">
        <v>570</v>
      </c>
      <c r="G13" s="697">
        <v>1</v>
      </c>
      <c r="H13" s="69" t="s">
        <v>823</v>
      </c>
      <c r="I13" s="32">
        <f t="shared" si="2"/>
        <v>113854.00000000001</v>
      </c>
      <c r="J13" s="33">
        <f t="shared" si="0"/>
        <v>18.999999999999993</v>
      </c>
      <c r="K13" s="195">
        <f>(113854*19%)+113854</f>
        <v>135486.26</v>
      </c>
      <c r="L13" s="85">
        <f>IF(I13="","",(K13)*$G$13)</f>
        <v>135486.26</v>
      </c>
      <c r="M13" s="705">
        <f t="shared" ref="M13" si="5">IFERROR(AVERAGE(L13:L14),"")</f>
        <v>110001.815</v>
      </c>
      <c r="N13" s="707">
        <f>IFERROR(HARMEAN(L13:L14),"")</f>
        <v>104097.75844458747</v>
      </c>
      <c r="O13" s="707">
        <f>IFERROR(MEDIAN(L13:L14),"")</f>
        <v>110001.815</v>
      </c>
      <c r="P13" s="25">
        <f t="shared" si="1"/>
        <v>135486.26</v>
      </c>
      <c r="Q13" s="544">
        <f>IFERROR(SUM(P13:P14)/COUNTA(K13:K14),"")</f>
        <v>110001.815</v>
      </c>
      <c r="R13" s="542">
        <f>IFERROR(_xlfn.STDEV.S(L13:L14),"")</f>
        <v>36040.447748551211</v>
      </c>
      <c r="S13" s="545">
        <f>IFERROR(R13/M13,"")</f>
        <v>0.32763502809977463</v>
      </c>
      <c r="T13" s="692" t="s">
        <v>2076</v>
      </c>
      <c r="U13" s="540">
        <f>M13</f>
        <v>110001.815</v>
      </c>
      <c r="V13" s="695" t="s">
        <v>849</v>
      </c>
      <c r="W13" s="191" t="s">
        <v>850</v>
      </c>
    </row>
    <row r="14" spans="1:2312" ht="40.5" customHeight="1" x14ac:dyDescent="0.3">
      <c r="A14" s="496"/>
      <c r="B14" s="697"/>
      <c r="C14" s="699"/>
      <c r="D14" s="701"/>
      <c r="E14" s="713"/>
      <c r="F14" s="704"/>
      <c r="G14" s="697"/>
      <c r="H14" s="69" t="s">
        <v>831</v>
      </c>
      <c r="I14" s="32">
        <f t="shared" si="2"/>
        <v>71023</v>
      </c>
      <c r="J14" s="33">
        <f t="shared" si="0"/>
        <v>18.999999999999993</v>
      </c>
      <c r="K14" s="195">
        <f>(71023*19%)+71023</f>
        <v>84517.37</v>
      </c>
      <c r="L14" s="85">
        <f>IF(I14="","",(K14)*$G$13)</f>
        <v>84517.37</v>
      </c>
      <c r="M14" s="705"/>
      <c r="N14" s="707"/>
      <c r="O14" s="707"/>
      <c r="P14" s="25">
        <f t="shared" si="1"/>
        <v>84517.37</v>
      </c>
      <c r="Q14" s="544"/>
      <c r="R14" s="542"/>
      <c r="S14" s="545"/>
      <c r="T14" s="711"/>
      <c r="U14" s="540"/>
      <c r="V14" s="712"/>
      <c r="W14" s="191" t="s">
        <v>851</v>
      </c>
    </row>
    <row r="15" spans="1:2312" ht="40.5" customHeight="1" x14ac:dyDescent="0.3">
      <c r="A15" s="496">
        <v>6</v>
      </c>
      <c r="B15" s="697">
        <v>54101513</v>
      </c>
      <c r="C15" s="741" t="s">
        <v>852</v>
      </c>
      <c r="D15" s="701" t="s">
        <v>853</v>
      </c>
      <c r="E15" s="713" t="s">
        <v>79</v>
      </c>
      <c r="F15" s="704" t="s">
        <v>570</v>
      </c>
      <c r="G15" s="697">
        <v>1</v>
      </c>
      <c r="H15" s="69" t="s">
        <v>854</v>
      </c>
      <c r="I15" s="32">
        <f t="shared" si="2"/>
        <v>48000</v>
      </c>
      <c r="J15" s="33">
        <f t="shared" si="0"/>
        <v>19</v>
      </c>
      <c r="K15" s="195">
        <f>(48000*19%)+48000</f>
        <v>57120</v>
      </c>
      <c r="L15" s="85">
        <f>IF(I15="","",(K15)*$G$15)</f>
        <v>57120</v>
      </c>
      <c r="M15" s="705">
        <f t="shared" ref="M15" si="6">IFERROR(AVERAGE(L15:L16),"")</f>
        <v>67229.05</v>
      </c>
      <c r="N15" s="707">
        <f>IFERROR(HARMEAN(L15:L16),"")</f>
        <v>65708.979555712896</v>
      </c>
      <c r="O15" s="707">
        <f>IFERROR(MEDIAN(L15:L16),"")</f>
        <v>67229.05</v>
      </c>
      <c r="P15" s="25">
        <f t="shared" si="1"/>
        <v>57120</v>
      </c>
      <c r="Q15" s="544">
        <f>IFERROR(SUM(P15:P16)/COUNTA(K15:K16),"")</f>
        <v>67229.05</v>
      </c>
      <c r="R15" s="542">
        <f>IFERROR(_xlfn.STDEV.S(L15:L16),"")</f>
        <v>14296.355612707746</v>
      </c>
      <c r="S15" s="545">
        <f>IFERROR(R15/M15,"")</f>
        <v>0.21265145963995841</v>
      </c>
      <c r="T15" s="692" t="s">
        <v>2076</v>
      </c>
      <c r="U15" s="540">
        <f>M15</f>
        <v>67229.05</v>
      </c>
      <c r="V15" s="695" t="s">
        <v>855</v>
      </c>
      <c r="W15" s="191" t="s">
        <v>856</v>
      </c>
    </row>
    <row r="16" spans="1:2312" ht="40.5" customHeight="1" x14ac:dyDescent="0.3">
      <c r="A16" s="496"/>
      <c r="B16" s="697"/>
      <c r="C16" s="741"/>
      <c r="D16" s="701"/>
      <c r="E16" s="713"/>
      <c r="F16" s="704"/>
      <c r="G16" s="697"/>
      <c r="H16" s="69" t="s">
        <v>823</v>
      </c>
      <c r="I16" s="32">
        <f t="shared" si="2"/>
        <v>64990.000000000007</v>
      </c>
      <c r="J16" s="33">
        <f t="shared" si="0"/>
        <v>18.999999999999993</v>
      </c>
      <c r="K16" s="195">
        <f>(64990*19%)+64990</f>
        <v>77338.100000000006</v>
      </c>
      <c r="L16" s="85">
        <f>IF(I16="","",(K16)*$G$15)</f>
        <v>77338.100000000006</v>
      </c>
      <c r="M16" s="705"/>
      <c r="N16" s="707"/>
      <c r="O16" s="707"/>
      <c r="P16" s="25">
        <f t="shared" si="1"/>
        <v>77338.100000000006</v>
      </c>
      <c r="Q16" s="544"/>
      <c r="R16" s="542"/>
      <c r="S16" s="545"/>
      <c r="T16" s="711"/>
      <c r="U16" s="540"/>
      <c r="V16" s="712"/>
      <c r="W16" s="191" t="s">
        <v>857</v>
      </c>
    </row>
    <row r="17" spans="1:23" ht="40.5" customHeight="1" x14ac:dyDescent="0.3">
      <c r="A17" s="496">
        <v>7</v>
      </c>
      <c r="B17" s="697">
        <v>60102306</v>
      </c>
      <c r="C17" s="699" t="s">
        <v>858</v>
      </c>
      <c r="D17" s="701" t="s">
        <v>859</v>
      </c>
      <c r="E17" s="713" t="s">
        <v>79</v>
      </c>
      <c r="F17" s="704" t="s">
        <v>570</v>
      </c>
      <c r="G17" s="697">
        <v>1</v>
      </c>
      <c r="H17" s="69" t="s">
        <v>860</v>
      </c>
      <c r="I17" s="32">
        <f t="shared" si="2"/>
        <v>40790</v>
      </c>
      <c r="J17" s="33">
        <f t="shared" si="0"/>
        <v>18.999999999999996</v>
      </c>
      <c r="K17" s="195">
        <f>(40790*19%)+40790</f>
        <v>48540.1</v>
      </c>
      <c r="L17" s="85">
        <f>IF(I17="","",(K17)*$G$17)</f>
        <v>48540.1</v>
      </c>
      <c r="M17" s="705">
        <f t="shared" ref="M17" si="7">IFERROR(AVERAGE(L17:L18),"")</f>
        <v>45201.876300000004</v>
      </c>
      <c r="N17" s="707">
        <f>IFERROR(HARMEAN(L17:L18),"")</f>
        <v>44955.343669423295</v>
      </c>
      <c r="O17" s="707">
        <f>IFERROR(MEDIAN(L17:L18),"")</f>
        <v>45201.876300000004</v>
      </c>
      <c r="P17" s="25">
        <f t="shared" si="1"/>
        <v>48540.1</v>
      </c>
      <c r="Q17" s="544">
        <f>IFERROR(SUM(P17:P18)/COUNTA(K17:K18),"")</f>
        <v>45201.876300000004</v>
      </c>
      <c r="R17" s="542">
        <f>IFERROR(_xlfn.STDEV.S(L17:L18),"")</f>
        <v>4720.9612307752923</v>
      </c>
      <c r="S17" s="545">
        <f>IFERROR(R17/M17,"")</f>
        <v>0.1044417094423864</v>
      </c>
      <c r="T17" s="692" t="s">
        <v>2076</v>
      </c>
      <c r="U17" s="540">
        <f>M17</f>
        <v>45201.876300000004</v>
      </c>
      <c r="V17" s="695" t="s">
        <v>861</v>
      </c>
      <c r="W17" s="191" t="s">
        <v>862</v>
      </c>
    </row>
    <row r="18" spans="1:23" ht="40.5" customHeight="1" x14ac:dyDescent="0.3">
      <c r="A18" s="496"/>
      <c r="B18" s="697"/>
      <c r="C18" s="699"/>
      <c r="D18" s="701"/>
      <c r="E18" s="713"/>
      <c r="F18" s="704"/>
      <c r="G18" s="697"/>
      <c r="H18" s="69" t="s">
        <v>863</v>
      </c>
      <c r="I18" s="32">
        <f t="shared" si="2"/>
        <v>35179.54</v>
      </c>
      <c r="J18" s="33">
        <f t="shared" si="0"/>
        <v>19</v>
      </c>
      <c r="K18" s="195">
        <f>(35179.54*19%)+35179.54</f>
        <v>41863.652600000001</v>
      </c>
      <c r="L18" s="85">
        <f>IF(I18="","",(K18)*$G$17)</f>
        <v>41863.652600000001</v>
      </c>
      <c r="M18" s="705"/>
      <c r="N18" s="707"/>
      <c r="O18" s="707"/>
      <c r="P18" s="25">
        <f t="shared" si="1"/>
        <v>41863.652600000001</v>
      </c>
      <c r="Q18" s="544"/>
      <c r="R18" s="542"/>
      <c r="S18" s="545"/>
      <c r="T18" s="711"/>
      <c r="U18" s="540"/>
      <c r="V18" s="712"/>
      <c r="W18" s="191" t="s">
        <v>864</v>
      </c>
    </row>
    <row r="19" spans="1:23" ht="40.5" customHeight="1" x14ac:dyDescent="0.3">
      <c r="A19" s="496">
        <v>8</v>
      </c>
      <c r="B19" s="697">
        <v>44122101</v>
      </c>
      <c r="C19" s="699" t="s">
        <v>865</v>
      </c>
      <c r="D19" s="701" t="s">
        <v>865</v>
      </c>
      <c r="E19" s="713" t="s">
        <v>290</v>
      </c>
      <c r="F19" s="704" t="s">
        <v>866</v>
      </c>
      <c r="G19" s="697">
        <v>1</v>
      </c>
      <c r="H19" s="69" t="s">
        <v>867</v>
      </c>
      <c r="I19" s="32">
        <f t="shared" si="2"/>
        <v>16170</v>
      </c>
      <c r="J19" s="33">
        <f t="shared" si="0"/>
        <v>18.999999999999993</v>
      </c>
      <c r="K19" s="195">
        <f>(16170*19%)+16170</f>
        <v>19242.3</v>
      </c>
      <c r="L19" s="85">
        <f>IF(I19="","",(K19)*$G$19)</f>
        <v>19242.3</v>
      </c>
      <c r="M19" s="705">
        <f t="shared" ref="M19" si="8">IFERROR(AVERAGE(L19:L20),"")</f>
        <v>20033.650000000001</v>
      </c>
      <c r="N19" s="707">
        <f>IFERROR(HARMEAN(L19:L20),"")</f>
        <v>20002.39085239085</v>
      </c>
      <c r="O19" s="707">
        <f>IFERROR(MEDIAN(L19:L20),"")</f>
        <v>20033.650000000001</v>
      </c>
      <c r="P19" s="25">
        <f t="shared" si="1"/>
        <v>19242.3</v>
      </c>
      <c r="Q19" s="544">
        <f>IFERROR(SUM(P19:P20)/COUNTA(K19:K20),"")</f>
        <v>20033.650000000001</v>
      </c>
      <c r="R19" s="542">
        <f>IFERROR(_xlfn.STDEV.S(L19:L20),"")</f>
        <v>1119.1379025839492</v>
      </c>
      <c r="S19" s="545">
        <f>IFERROR(R19/M19,"")</f>
        <v>5.5862905790205433E-2</v>
      </c>
      <c r="T19" s="692" t="s">
        <v>2076</v>
      </c>
      <c r="U19" s="540">
        <f>M19</f>
        <v>20033.650000000001</v>
      </c>
      <c r="V19" s="695" t="s">
        <v>868</v>
      </c>
      <c r="W19" s="191" t="s">
        <v>869</v>
      </c>
    </row>
    <row r="20" spans="1:23" ht="40.5" customHeight="1" x14ac:dyDescent="0.3">
      <c r="A20" s="496"/>
      <c r="B20" s="697"/>
      <c r="C20" s="699"/>
      <c r="D20" s="701"/>
      <c r="E20" s="713"/>
      <c r="F20" s="704"/>
      <c r="G20" s="697"/>
      <c r="H20" s="69" t="s">
        <v>870</v>
      </c>
      <c r="I20" s="32">
        <f t="shared" si="2"/>
        <v>17500</v>
      </c>
      <c r="J20" s="33">
        <f t="shared" si="0"/>
        <v>19</v>
      </c>
      <c r="K20" s="195">
        <f>(17500*19%)+17500</f>
        <v>20825</v>
      </c>
      <c r="L20" s="85">
        <f>IF(I20="","",(K20)*$G$19)</f>
        <v>20825</v>
      </c>
      <c r="M20" s="705"/>
      <c r="N20" s="707"/>
      <c r="O20" s="707"/>
      <c r="P20" s="25">
        <f t="shared" si="1"/>
        <v>20825</v>
      </c>
      <c r="Q20" s="544"/>
      <c r="R20" s="542"/>
      <c r="S20" s="545"/>
      <c r="T20" s="711"/>
      <c r="U20" s="540"/>
      <c r="V20" s="712"/>
      <c r="W20" s="191" t="s">
        <v>871</v>
      </c>
    </row>
    <row r="21" spans="1:23" ht="40.5" customHeight="1" x14ac:dyDescent="0.25">
      <c r="A21" s="496">
        <v>9</v>
      </c>
      <c r="B21" s="697">
        <v>44122003</v>
      </c>
      <c r="C21" s="699" t="s">
        <v>872</v>
      </c>
      <c r="D21" s="701" t="s">
        <v>873</v>
      </c>
      <c r="E21" s="713" t="s">
        <v>290</v>
      </c>
      <c r="F21" s="704" t="s">
        <v>290</v>
      </c>
      <c r="G21" s="697">
        <v>1</v>
      </c>
      <c r="H21" s="71" t="s">
        <v>874</v>
      </c>
      <c r="I21" s="32">
        <f t="shared" si="2"/>
        <v>11528.571428571429</v>
      </c>
      <c r="J21" s="33">
        <f t="shared" si="0"/>
        <v>18.999999999999993</v>
      </c>
      <c r="K21" s="195">
        <v>13719</v>
      </c>
      <c r="L21" s="85">
        <f>IF(I21="","",(K21)*$G$21)</f>
        <v>13719</v>
      </c>
      <c r="M21" s="705">
        <f t="shared" ref="M21" si="9">IFERROR(AVERAGE(L21:L22),"")</f>
        <v>11560</v>
      </c>
      <c r="N21" s="707">
        <f>IFERROR(HARMEAN(L21:L22),"")</f>
        <v>11156.775</v>
      </c>
      <c r="O21" s="707">
        <f>IFERROR(MEDIAN(L21:L22),"")</f>
        <v>11560</v>
      </c>
      <c r="P21" s="25">
        <f t="shared" si="1"/>
        <v>13719</v>
      </c>
      <c r="Q21" s="544">
        <f>IFERROR(SUM(P21:P22)/COUNTA(K21:K22),"")</f>
        <v>11560</v>
      </c>
      <c r="R21" s="542">
        <f>IFERROR(_xlfn.STDEV.S(L21:L22),"")</f>
        <v>3053.2870811635121</v>
      </c>
      <c r="S21" s="545">
        <f>IFERROR(R21/M21,"")</f>
        <v>0.26412518003144569</v>
      </c>
      <c r="T21" s="539" t="s">
        <v>2075</v>
      </c>
      <c r="U21" s="540">
        <f>M21</f>
        <v>11560</v>
      </c>
      <c r="V21" s="695" t="s">
        <v>875</v>
      </c>
      <c r="W21" s="189" t="s">
        <v>876</v>
      </c>
    </row>
    <row r="22" spans="1:23" ht="40.5" customHeight="1" x14ac:dyDescent="0.3">
      <c r="A22" s="496"/>
      <c r="B22" s="697"/>
      <c r="C22" s="699"/>
      <c r="D22" s="701"/>
      <c r="E22" s="713"/>
      <c r="F22" s="704"/>
      <c r="G22" s="697"/>
      <c r="H22" s="69" t="s">
        <v>877</v>
      </c>
      <c r="I22" s="32">
        <f t="shared" si="2"/>
        <v>7900</v>
      </c>
      <c r="J22" s="33">
        <f t="shared" si="0"/>
        <v>19</v>
      </c>
      <c r="K22" s="195">
        <f>(7900*19%)+7900</f>
        <v>9401</v>
      </c>
      <c r="L22" s="85">
        <f>IF(I22="","",(K22)*$G$21)</f>
        <v>9401</v>
      </c>
      <c r="M22" s="705"/>
      <c r="N22" s="707"/>
      <c r="O22" s="707"/>
      <c r="P22" s="25">
        <f t="shared" si="1"/>
        <v>9401</v>
      </c>
      <c r="Q22" s="544"/>
      <c r="R22" s="542"/>
      <c r="S22" s="545"/>
      <c r="T22" s="539"/>
      <c r="U22" s="540"/>
      <c r="V22" s="712"/>
      <c r="W22" s="191" t="s">
        <v>878</v>
      </c>
    </row>
    <row r="23" spans="1:23" ht="40.5" customHeight="1" x14ac:dyDescent="0.3">
      <c r="A23" s="496">
        <v>10</v>
      </c>
      <c r="B23" s="697">
        <v>44122003</v>
      </c>
      <c r="C23" s="699" t="s">
        <v>879</v>
      </c>
      <c r="D23" s="701" t="s">
        <v>880</v>
      </c>
      <c r="E23" s="713" t="s">
        <v>290</v>
      </c>
      <c r="F23" s="704" t="s">
        <v>290</v>
      </c>
      <c r="G23" s="697">
        <v>1</v>
      </c>
      <c r="H23" s="71" t="s">
        <v>874</v>
      </c>
      <c r="I23" s="32">
        <f t="shared" si="2"/>
        <v>7370.588235294118</v>
      </c>
      <c r="J23" s="33">
        <f t="shared" si="0"/>
        <v>18.999999999999993</v>
      </c>
      <c r="K23" s="195">
        <v>8771</v>
      </c>
      <c r="L23" s="85">
        <f>IF(I23="","",(K23)*$G$23)</f>
        <v>8771</v>
      </c>
      <c r="M23" s="705">
        <f t="shared" ref="M23" si="10">IFERROR(AVERAGE(L23:L24),"")</f>
        <v>13736.25</v>
      </c>
      <c r="N23" s="707">
        <f>IFERROR(HARMEAN(L23:L24),"")</f>
        <v>11941.458294658296</v>
      </c>
      <c r="O23" s="707">
        <f>IFERROR(MEDIAN(L23:L24),"")</f>
        <v>13736.25</v>
      </c>
      <c r="P23" s="25">
        <f t="shared" si="1"/>
        <v>8771</v>
      </c>
      <c r="Q23" s="544">
        <f>IFERROR(SUM(P23:P24)/COUNTA(K23:K24),"")</f>
        <v>13736.25</v>
      </c>
      <c r="R23" s="542">
        <f>IFERROR(_xlfn.STDEV.S(L23:L24),"")</f>
        <v>7021.9238905730099</v>
      </c>
      <c r="S23" s="545">
        <f>IFERROR(R23/M23,"")</f>
        <v>0.51119657043028555</v>
      </c>
      <c r="T23" s="539" t="s">
        <v>881</v>
      </c>
      <c r="U23" s="540">
        <f>M23</f>
        <v>13736.25</v>
      </c>
      <c r="V23" s="714" t="s">
        <v>882</v>
      </c>
      <c r="W23" s="190"/>
    </row>
    <row r="24" spans="1:23" ht="40.5" customHeight="1" x14ac:dyDescent="0.3">
      <c r="A24" s="496"/>
      <c r="B24" s="697"/>
      <c r="C24" s="699"/>
      <c r="D24" s="701"/>
      <c r="E24" s="713"/>
      <c r="F24" s="704"/>
      <c r="G24" s="697"/>
      <c r="H24" s="71" t="s">
        <v>820</v>
      </c>
      <c r="I24" s="32">
        <f t="shared" si="2"/>
        <v>15715.546218487396</v>
      </c>
      <c r="J24" s="33">
        <f t="shared" si="0"/>
        <v>18.999999999999993</v>
      </c>
      <c r="K24" s="195">
        <v>18701.5</v>
      </c>
      <c r="L24" s="85">
        <f>IF(I24="","",(K24)*$G$23)</f>
        <v>18701.5</v>
      </c>
      <c r="M24" s="705"/>
      <c r="N24" s="707"/>
      <c r="O24" s="707"/>
      <c r="P24" s="25">
        <f t="shared" si="1"/>
        <v>18701.5</v>
      </c>
      <c r="Q24" s="544"/>
      <c r="R24" s="542"/>
      <c r="S24" s="545"/>
      <c r="T24" s="539"/>
      <c r="U24" s="540"/>
      <c r="V24" s="715"/>
      <c r="W24" s="190"/>
    </row>
    <row r="25" spans="1:23" ht="40.5" customHeight="1" x14ac:dyDescent="0.3">
      <c r="A25" s="496">
        <v>11</v>
      </c>
      <c r="B25" s="697">
        <v>26111702</v>
      </c>
      <c r="C25" s="699" t="s">
        <v>883</v>
      </c>
      <c r="D25" s="701" t="s">
        <v>884</v>
      </c>
      <c r="E25" s="713" t="s">
        <v>290</v>
      </c>
      <c r="F25" s="704" t="s">
        <v>885</v>
      </c>
      <c r="G25" s="697">
        <v>1</v>
      </c>
      <c r="H25" s="69" t="s">
        <v>886</v>
      </c>
      <c r="I25" s="32">
        <f t="shared" si="2"/>
        <v>7199</v>
      </c>
      <c r="J25" s="33">
        <f t="shared" si="0"/>
        <v>18.999999999999993</v>
      </c>
      <c r="K25" s="195">
        <f>(7199*19%)+7199</f>
        <v>8566.81</v>
      </c>
      <c r="L25" s="85">
        <f>IF(I25="","",(K25)*$G$25)</f>
        <v>8566.81</v>
      </c>
      <c r="M25" s="705">
        <f t="shared" ref="M25" si="11">IFERROR(AVERAGE(L25:L26),"")</f>
        <v>12970.404999999999</v>
      </c>
      <c r="N25" s="707">
        <f>IFERROR(HARMEAN(L25:L26),"")</f>
        <v>11475.336116335609</v>
      </c>
      <c r="O25" s="707">
        <f>IFERROR(MEDIAN(L25:L26),"")</f>
        <v>12970.404999999999</v>
      </c>
      <c r="P25" s="25">
        <f t="shared" si="1"/>
        <v>8566.81</v>
      </c>
      <c r="Q25" s="544">
        <f>IFERROR(SUM(P25:P26)/COUNTA(K25:K26),"")</f>
        <v>12970.404999999999</v>
      </c>
      <c r="R25" s="542">
        <f>IFERROR(_xlfn.STDEV.S(L25:L26),"")</f>
        <v>6227.6237721983543</v>
      </c>
      <c r="S25" s="545">
        <f>IFERROR(R25/M25,"")</f>
        <v>0.48014104202593172</v>
      </c>
      <c r="T25" s="692" t="s">
        <v>2076</v>
      </c>
      <c r="U25" s="540">
        <f>M25</f>
        <v>12970.404999999999</v>
      </c>
      <c r="V25" s="695" t="s">
        <v>887</v>
      </c>
      <c r="W25" s="191" t="s">
        <v>888</v>
      </c>
    </row>
    <row r="26" spans="1:23" ht="40.5" customHeight="1" x14ac:dyDescent="0.3">
      <c r="A26" s="496"/>
      <c r="B26" s="697"/>
      <c r="C26" s="699"/>
      <c r="D26" s="701"/>
      <c r="E26" s="713"/>
      <c r="F26" s="704"/>
      <c r="G26" s="697"/>
      <c r="H26" s="69" t="s">
        <v>889</v>
      </c>
      <c r="I26" s="32">
        <f t="shared" si="2"/>
        <v>14600</v>
      </c>
      <c r="J26" s="33">
        <f t="shared" si="0"/>
        <v>19</v>
      </c>
      <c r="K26" s="195">
        <f>(14600*19%)+14600</f>
        <v>17374</v>
      </c>
      <c r="L26" s="85">
        <f>IF(I26="","",(K26)*$G$25)</f>
        <v>17374</v>
      </c>
      <c r="M26" s="705"/>
      <c r="N26" s="707"/>
      <c r="O26" s="707"/>
      <c r="P26" s="25">
        <f t="shared" si="1"/>
        <v>17374</v>
      </c>
      <c r="Q26" s="544"/>
      <c r="R26" s="542"/>
      <c r="S26" s="545"/>
      <c r="T26" s="711"/>
      <c r="U26" s="540"/>
      <c r="V26" s="712"/>
      <c r="W26" s="191" t="s">
        <v>890</v>
      </c>
    </row>
    <row r="27" spans="1:23" ht="40.5" customHeight="1" x14ac:dyDescent="0.3">
      <c r="A27" s="496">
        <v>12</v>
      </c>
      <c r="B27" s="697">
        <v>22101703</v>
      </c>
      <c r="C27" s="699" t="s">
        <v>891</v>
      </c>
      <c r="D27" s="701" t="s">
        <v>892</v>
      </c>
      <c r="E27" s="713" t="s">
        <v>141</v>
      </c>
      <c r="F27" s="704" t="s">
        <v>141</v>
      </c>
      <c r="G27" s="697">
        <v>1</v>
      </c>
      <c r="H27" s="71" t="s">
        <v>874</v>
      </c>
      <c r="I27" s="32">
        <f t="shared" si="2"/>
        <v>16846.218487394959</v>
      </c>
      <c r="J27" s="33">
        <f t="shared" si="0"/>
        <v>18.999999999999993</v>
      </c>
      <c r="K27" s="195">
        <v>20047</v>
      </c>
      <c r="L27" s="85">
        <f>IF(I27="","",(K27)*$G$27)</f>
        <v>20047</v>
      </c>
      <c r="M27" s="705">
        <f t="shared" ref="M27" si="12">IFERROR(AVERAGE(L27:L28),"")</f>
        <v>15747.1</v>
      </c>
      <c r="N27" s="707">
        <f>IFERROR(HARMEAN(L27:L28),"")</f>
        <v>14572.97015958494</v>
      </c>
      <c r="O27" s="707">
        <f>IFERROR(MEDIAN(L27:L28),"")</f>
        <v>15747.1</v>
      </c>
      <c r="P27" s="25">
        <f t="shared" si="1"/>
        <v>20047</v>
      </c>
      <c r="Q27" s="544">
        <f>IFERROR(SUM(P27:P28)/COUNTA(K27:K28),"")</f>
        <v>15747.1</v>
      </c>
      <c r="R27" s="542">
        <f>IFERROR(_xlfn.STDEV.S(L27:L28),"")</f>
        <v>6080.9768968480703</v>
      </c>
      <c r="S27" s="545">
        <f>IFERROR(R27/M27,"")</f>
        <v>0.38616487460218518</v>
      </c>
      <c r="T27" s="539" t="s">
        <v>881</v>
      </c>
      <c r="U27" s="540">
        <f>M27</f>
        <v>15747.1</v>
      </c>
      <c r="V27" s="714" t="s">
        <v>882</v>
      </c>
      <c r="W27" s="190"/>
    </row>
    <row r="28" spans="1:23" ht="40.5" customHeight="1" x14ac:dyDescent="0.3">
      <c r="A28" s="496"/>
      <c r="B28" s="697"/>
      <c r="C28" s="699"/>
      <c r="D28" s="701"/>
      <c r="E28" s="713"/>
      <c r="F28" s="704"/>
      <c r="G28" s="697"/>
      <c r="H28" s="71" t="s">
        <v>820</v>
      </c>
      <c r="I28" s="32">
        <f t="shared" si="2"/>
        <v>9619.495798319329</v>
      </c>
      <c r="J28" s="33">
        <f t="shared" si="0"/>
        <v>18.999999999999993</v>
      </c>
      <c r="K28" s="195">
        <v>11447.2</v>
      </c>
      <c r="L28" s="85">
        <f>IF(I28="","",(K28)*$G$27)</f>
        <v>11447.2</v>
      </c>
      <c r="M28" s="705"/>
      <c r="N28" s="707"/>
      <c r="O28" s="707"/>
      <c r="P28" s="25">
        <f t="shared" si="1"/>
        <v>11447.2</v>
      </c>
      <c r="Q28" s="544"/>
      <c r="R28" s="542"/>
      <c r="S28" s="545"/>
      <c r="T28" s="539"/>
      <c r="U28" s="540"/>
      <c r="V28" s="715"/>
      <c r="W28" s="190"/>
    </row>
    <row r="29" spans="1:23" ht="40.5" customHeight="1" x14ac:dyDescent="0.3">
      <c r="A29" s="496">
        <v>13</v>
      </c>
      <c r="B29" s="697">
        <v>22101703</v>
      </c>
      <c r="C29" s="699" t="s">
        <v>893</v>
      </c>
      <c r="D29" s="701" t="s">
        <v>894</v>
      </c>
      <c r="E29" s="713" t="s">
        <v>79</v>
      </c>
      <c r="F29" s="704" t="s">
        <v>79</v>
      </c>
      <c r="G29" s="697">
        <v>1</v>
      </c>
      <c r="H29" s="69" t="s">
        <v>895</v>
      </c>
      <c r="I29" s="32">
        <f t="shared" si="2"/>
        <v>8500</v>
      </c>
      <c r="J29" s="33">
        <f t="shared" si="0"/>
        <v>19</v>
      </c>
      <c r="K29" s="195">
        <f>(8500*19%)+8500</f>
        <v>10115</v>
      </c>
      <c r="L29" s="85">
        <f>IF(I29="","",(K29)*$G$29)</f>
        <v>10115</v>
      </c>
      <c r="M29" s="705">
        <f t="shared" ref="M29" si="13">IFERROR(AVERAGE(L29:L30),"")</f>
        <v>11390</v>
      </c>
      <c r="N29" s="707">
        <f>IFERROR(HARMEAN(L29:L30),"")</f>
        <v>11247.276119402984</v>
      </c>
      <c r="O29" s="707">
        <f>IFERROR(MEDIAN(L29:L30),"")</f>
        <v>11390</v>
      </c>
      <c r="P29" s="25">
        <f t="shared" si="1"/>
        <v>10115</v>
      </c>
      <c r="Q29" s="544">
        <f>IFERROR(SUM(P29:P30)/COUNTA(K29:K30),"")</f>
        <v>11390</v>
      </c>
      <c r="R29" s="542">
        <f>IFERROR(_xlfn.STDEV.S(L29:L30),"")</f>
        <v>1803.1222920256962</v>
      </c>
      <c r="S29" s="545">
        <f>IFERROR(R29/M29,"")</f>
        <v>0.15830748832534647</v>
      </c>
      <c r="T29" s="539" t="s">
        <v>2075</v>
      </c>
      <c r="U29" s="540">
        <f>M29</f>
        <v>11390</v>
      </c>
      <c r="V29" s="695" t="s">
        <v>896</v>
      </c>
      <c r="W29" s="191" t="s">
        <v>897</v>
      </c>
    </row>
    <row r="30" spans="1:23" ht="40.5" customHeight="1" x14ac:dyDescent="0.25">
      <c r="A30" s="496"/>
      <c r="B30" s="697"/>
      <c r="C30" s="699"/>
      <c r="D30" s="701"/>
      <c r="E30" s="713"/>
      <c r="F30" s="704"/>
      <c r="G30" s="697"/>
      <c r="H30" s="71" t="s">
        <v>820</v>
      </c>
      <c r="I30" s="32">
        <f t="shared" si="2"/>
        <v>10642.857142857143</v>
      </c>
      <c r="J30" s="33">
        <f t="shared" si="0"/>
        <v>18.999999999999996</v>
      </c>
      <c r="K30" s="195">
        <v>12665</v>
      </c>
      <c r="L30" s="85">
        <f>IF(I30="","",(K30)*$G$29)</f>
        <v>12665</v>
      </c>
      <c r="M30" s="705"/>
      <c r="N30" s="707"/>
      <c r="O30" s="707"/>
      <c r="P30" s="25">
        <f t="shared" si="1"/>
        <v>12665</v>
      </c>
      <c r="Q30" s="544"/>
      <c r="R30" s="542"/>
      <c r="S30" s="545"/>
      <c r="T30" s="539"/>
      <c r="U30" s="540"/>
      <c r="V30" s="712"/>
      <c r="W30" s="189" t="s">
        <v>822</v>
      </c>
    </row>
    <row r="31" spans="1:23" ht="40.5" customHeight="1" x14ac:dyDescent="0.3">
      <c r="A31" s="496">
        <v>14</v>
      </c>
      <c r="B31" s="740" t="s">
        <v>898</v>
      </c>
      <c r="C31" s="699" t="s">
        <v>899</v>
      </c>
      <c r="D31" s="701" t="s">
        <v>900</v>
      </c>
      <c r="E31" s="713" t="s">
        <v>79</v>
      </c>
      <c r="F31" s="704" t="s">
        <v>901</v>
      </c>
      <c r="G31" s="697">
        <v>1</v>
      </c>
      <c r="H31" s="69" t="s">
        <v>902</v>
      </c>
      <c r="I31" s="32">
        <f t="shared" si="2"/>
        <v>13252.000000000002</v>
      </c>
      <c r="J31" s="33">
        <f t="shared" si="0"/>
        <v>18.999999999999993</v>
      </c>
      <c r="K31" s="195">
        <f>(13252*19%)+13252</f>
        <v>15769.880000000001</v>
      </c>
      <c r="L31" s="85">
        <f>IF(I31="","",(K31)*$G$31)</f>
        <v>15769.880000000001</v>
      </c>
      <c r="M31" s="705">
        <f t="shared" ref="M31" si="14">IFERROR(AVERAGE(L31:L32),"")</f>
        <v>15700.84</v>
      </c>
      <c r="N31" s="707">
        <f>IFERROR(HARMEAN(L31:L32),"")</f>
        <v>15700.536416140792</v>
      </c>
      <c r="O31" s="707">
        <f>IFERROR(MEDIAN(L31:L32),"")</f>
        <v>15700.84</v>
      </c>
      <c r="P31" s="25">
        <f t="shared" si="1"/>
        <v>15769.880000000001</v>
      </c>
      <c r="Q31" s="544">
        <f>IFERROR(SUM(P31:P32)/COUNTA(K31:K32),"")</f>
        <v>15700.84</v>
      </c>
      <c r="R31" s="542">
        <f>IFERROR(_xlfn.STDEV.S(L31:L32),"")</f>
        <v>97.637304346239716</v>
      </c>
      <c r="S31" s="545">
        <f>IFERROR(R31/M31,"")</f>
        <v>6.2186038674516596E-3</v>
      </c>
      <c r="T31" s="539" t="s">
        <v>2075</v>
      </c>
      <c r="U31" s="540">
        <f>M31</f>
        <v>15700.84</v>
      </c>
      <c r="V31" s="695" t="s">
        <v>903</v>
      </c>
      <c r="W31" s="191" t="s">
        <v>904</v>
      </c>
    </row>
    <row r="32" spans="1:23" ht="40.5" customHeight="1" x14ac:dyDescent="0.25">
      <c r="A32" s="496"/>
      <c r="B32" s="698"/>
      <c r="C32" s="699"/>
      <c r="D32" s="701"/>
      <c r="E32" s="713"/>
      <c r="F32" s="704"/>
      <c r="G32" s="697"/>
      <c r="H32" s="71" t="s">
        <v>820</v>
      </c>
      <c r="I32" s="32">
        <f t="shared" si="2"/>
        <v>13135.966386554623</v>
      </c>
      <c r="J32" s="33">
        <f t="shared" si="0"/>
        <v>18.999999999999986</v>
      </c>
      <c r="K32" s="195">
        <v>15631.8</v>
      </c>
      <c r="L32" s="85">
        <f>IF(I32="","",(K32)*$G$31)</f>
        <v>15631.8</v>
      </c>
      <c r="M32" s="705"/>
      <c r="N32" s="707"/>
      <c r="O32" s="707"/>
      <c r="P32" s="25">
        <f t="shared" si="1"/>
        <v>15631.8</v>
      </c>
      <c r="Q32" s="544"/>
      <c r="R32" s="542"/>
      <c r="S32" s="545"/>
      <c r="T32" s="539"/>
      <c r="U32" s="540"/>
      <c r="V32" s="712"/>
      <c r="W32" s="189" t="s">
        <v>822</v>
      </c>
    </row>
    <row r="33" spans="1:23" ht="40.5" customHeight="1" x14ac:dyDescent="0.25">
      <c r="A33" s="496">
        <v>15</v>
      </c>
      <c r="B33" s="697">
        <v>14111531</v>
      </c>
      <c r="C33" s="733" t="s">
        <v>905</v>
      </c>
      <c r="D33" s="701" t="s">
        <v>906</v>
      </c>
      <c r="E33" s="713" t="s">
        <v>79</v>
      </c>
      <c r="F33" s="704" t="s">
        <v>79</v>
      </c>
      <c r="G33" s="697">
        <v>1</v>
      </c>
      <c r="H33" s="71" t="s">
        <v>874</v>
      </c>
      <c r="I33" s="32">
        <f t="shared" si="2"/>
        <v>67541.176470588238</v>
      </c>
      <c r="J33" s="33">
        <f t="shared" si="0"/>
        <v>18.999999999999993</v>
      </c>
      <c r="K33" s="195">
        <v>80374</v>
      </c>
      <c r="L33" s="85">
        <f>IF(I33="","",(K33)*$G$33)</f>
        <v>80374</v>
      </c>
      <c r="M33" s="705">
        <f t="shared" ref="M33" si="15">IFERROR(AVERAGE(L33:L34),"")</f>
        <v>57977.5</v>
      </c>
      <c r="N33" s="707">
        <f>IFERROR(HARMEAN(L33:L34),"")</f>
        <v>49325.812496226979</v>
      </c>
      <c r="O33" s="707">
        <f>IFERROR(MEDIAN(L33:L34),"")</f>
        <v>57977.5</v>
      </c>
      <c r="P33" s="25">
        <f t="shared" si="1"/>
        <v>80374</v>
      </c>
      <c r="Q33" s="544">
        <f>IFERROR(SUM(P33:P34)/COUNTA(K33:K34),"")</f>
        <v>57977.5</v>
      </c>
      <c r="R33" s="542">
        <f>IFERROR(_xlfn.STDEV.S(L33:L34),"")</f>
        <v>31673.434049689022</v>
      </c>
      <c r="S33" s="545">
        <f>IFERROR(R33/M33,"")</f>
        <v>0.54630561941596345</v>
      </c>
      <c r="T33" s="539" t="s">
        <v>2075</v>
      </c>
      <c r="U33" s="540">
        <f>M33</f>
        <v>57977.5</v>
      </c>
      <c r="V33" s="695" t="s">
        <v>907</v>
      </c>
      <c r="W33" s="189" t="s">
        <v>876</v>
      </c>
    </row>
    <row r="34" spans="1:23" ht="40.5" customHeight="1" x14ac:dyDescent="0.3">
      <c r="A34" s="496"/>
      <c r="B34" s="697"/>
      <c r="C34" s="733"/>
      <c r="D34" s="701"/>
      <c r="E34" s="713"/>
      <c r="F34" s="704"/>
      <c r="G34" s="697"/>
      <c r="H34" s="69" t="s">
        <v>736</v>
      </c>
      <c r="I34" s="32">
        <f t="shared" si="2"/>
        <v>29900</v>
      </c>
      <c r="J34" s="33">
        <f t="shared" si="0"/>
        <v>19</v>
      </c>
      <c r="K34" s="195">
        <f>(29900*19%)+29900</f>
        <v>35581</v>
      </c>
      <c r="L34" s="85">
        <f>IF(I34="","",(K34)*$G$33)</f>
        <v>35581</v>
      </c>
      <c r="M34" s="705"/>
      <c r="N34" s="707"/>
      <c r="O34" s="707"/>
      <c r="P34" s="25">
        <f t="shared" si="1"/>
        <v>35581</v>
      </c>
      <c r="Q34" s="544"/>
      <c r="R34" s="542"/>
      <c r="S34" s="545"/>
      <c r="T34" s="539"/>
      <c r="U34" s="540"/>
      <c r="V34" s="712"/>
      <c r="W34" s="191" t="s">
        <v>908</v>
      </c>
    </row>
    <row r="35" spans="1:23" ht="40.5" customHeight="1" x14ac:dyDescent="0.3">
      <c r="A35" s="496">
        <v>16</v>
      </c>
      <c r="B35" s="697">
        <v>44121618</v>
      </c>
      <c r="C35" s="699" t="s">
        <v>909</v>
      </c>
      <c r="D35" s="701" t="s">
        <v>910</v>
      </c>
      <c r="E35" s="713" t="s">
        <v>79</v>
      </c>
      <c r="F35" s="704" t="s">
        <v>79</v>
      </c>
      <c r="G35" s="697">
        <v>1</v>
      </c>
      <c r="H35" s="69" t="s">
        <v>911</v>
      </c>
      <c r="I35" s="32">
        <f t="shared" si="2"/>
        <v>3000</v>
      </c>
      <c r="J35" s="33">
        <f t="shared" si="0"/>
        <v>19</v>
      </c>
      <c r="K35" s="195">
        <f>(3000*19%)+3000</f>
        <v>3570</v>
      </c>
      <c r="L35" s="85">
        <f>IF(I35="","",(K35)*$G$35)</f>
        <v>3570</v>
      </c>
      <c r="M35" s="705">
        <f t="shared" ref="M35" si="16">IFERROR(AVERAGE(L35:L36),"")</f>
        <v>3391.5</v>
      </c>
      <c r="N35" s="707">
        <f>IFERROR(HARMEAN(L35:L36),"")</f>
        <v>3382.1052631578946</v>
      </c>
      <c r="O35" s="707">
        <f>IFERROR(MEDIAN(L35:L36),"")</f>
        <v>3391.5</v>
      </c>
      <c r="P35" s="25">
        <f t="shared" si="1"/>
        <v>3570</v>
      </c>
      <c r="Q35" s="544">
        <f>IFERROR(SUM(P35:P36)/COUNTA(K35:K36),"")</f>
        <v>3391.5</v>
      </c>
      <c r="R35" s="542">
        <f>IFERROR(_xlfn.STDEV.S(L35:L36),"")</f>
        <v>252.43712088359746</v>
      </c>
      <c r="S35" s="545">
        <f>IFERROR(R35/M35,"")</f>
        <v>7.4432292756478682E-2</v>
      </c>
      <c r="T35" s="692" t="s">
        <v>2076</v>
      </c>
      <c r="U35" s="540">
        <f>M35</f>
        <v>3391.5</v>
      </c>
      <c r="V35" s="695" t="s">
        <v>912</v>
      </c>
      <c r="W35" s="191" t="s">
        <v>913</v>
      </c>
    </row>
    <row r="36" spans="1:23" ht="40.5" customHeight="1" x14ac:dyDescent="0.3">
      <c r="A36" s="496"/>
      <c r="B36" s="697"/>
      <c r="C36" s="699"/>
      <c r="D36" s="701"/>
      <c r="E36" s="713"/>
      <c r="F36" s="704"/>
      <c r="G36" s="697"/>
      <c r="H36" s="69" t="s">
        <v>914</v>
      </c>
      <c r="I36" s="32">
        <f t="shared" si="2"/>
        <v>2700</v>
      </c>
      <c r="J36" s="33">
        <f t="shared" si="0"/>
        <v>19</v>
      </c>
      <c r="K36" s="195">
        <f>(2700*19%)+2700</f>
        <v>3213</v>
      </c>
      <c r="L36" s="85">
        <f>IF(I36="","",(K36)*$G$35)</f>
        <v>3213</v>
      </c>
      <c r="M36" s="705"/>
      <c r="N36" s="707"/>
      <c r="O36" s="707"/>
      <c r="P36" s="25">
        <f t="shared" si="1"/>
        <v>3213</v>
      </c>
      <c r="Q36" s="544"/>
      <c r="R36" s="542"/>
      <c r="S36" s="545"/>
      <c r="T36" s="711"/>
      <c r="U36" s="540"/>
      <c r="V36" s="712"/>
      <c r="W36" s="191" t="s">
        <v>915</v>
      </c>
    </row>
    <row r="37" spans="1:23" ht="40.5" customHeight="1" x14ac:dyDescent="0.25">
      <c r="A37" s="496">
        <v>17</v>
      </c>
      <c r="B37" s="697" t="s">
        <v>898</v>
      </c>
      <c r="C37" s="699" t="s">
        <v>916</v>
      </c>
      <c r="D37" s="701" t="s">
        <v>917</v>
      </c>
      <c r="E37" s="713" t="s">
        <v>79</v>
      </c>
      <c r="F37" s="704" t="s">
        <v>570</v>
      </c>
      <c r="G37" s="697">
        <v>1</v>
      </c>
      <c r="H37" s="71" t="s">
        <v>820</v>
      </c>
      <c r="I37" s="32">
        <f t="shared" si="2"/>
        <v>8415.7142857142862</v>
      </c>
      <c r="J37" s="33">
        <f t="shared" si="0"/>
        <v>19</v>
      </c>
      <c r="K37" s="195">
        <v>10014.700000000001</v>
      </c>
      <c r="L37" s="85">
        <f>IF(I37="","",(K37)*$G$37)</f>
        <v>10014.700000000001</v>
      </c>
      <c r="M37" s="706">
        <f t="shared" ref="M37" si="17">IFERROR(AVERAGE(L37:L38),"")</f>
        <v>9588.85</v>
      </c>
      <c r="N37" s="708">
        <f>IFERROR(HARMEAN(L37:L38),"")</f>
        <v>9569.9375941849139</v>
      </c>
      <c r="O37" s="708">
        <f>IFERROR(MEDIAN(L37:L38),"")</f>
        <v>9588.85</v>
      </c>
      <c r="P37" s="25">
        <f t="shared" si="1"/>
        <v>10014.700000000001</v>
      </c>
      <c r="Q37" s="709">
        <f>IFERROR(SUM(P37:P38)/COUNTA(K37:K38),"")</f>
        <v>9588.85</v>
      </c>
      <c r="R37" s="709">
        <f>IFERROR(_xlfn.STDEV.S(L37:L38),"")</f>
        <v>602.2428455365831</v>
      </c>
      <c r="S37" s="691">
        <f>IFERROR(R37/M37,"")</f>
        <v>6.2806576965598909E-2</v>
      </c>
      <c r="T37" s="539" t="s">
        <v>2075</v>
      </c>
      <c r="U37" s="694">
        <f>M37</f>
        <v>9588.85</v>
      </c>
      <c r="V37" s="695" t="s">
        <v>918</v>
      </c>
      <c r="W37" s="189" t="s">
        <v>822</v>
      </c>
    </row>
    <row r="38" spans="1:23" ht="40.5" customHeight="1" x14ac:dyDescent="0.3">
      <c r="A38" s="496"/>
      <c r="B38" s="697"/>
      <c r="C38" s="699"/>
      <c r="D38" s="701"/>
      <c r="E38" s="713"/>
      <c r="F38" s="704"/>
      <c r="G38" s="697"/>
      <c r="H38" s="69" t="s">
        <v>919</v>
      </c>
      <c r="I38" s="32">
        <f t="shared" si="2"/>
        <v>7700</v>
      </c>
      <c r="J38" s="33">
        <f t="shared" si="0"/>
        <v>19</v>
      </c>
      <c r="K38" s="195">
        <f>(7700*19%)+7700</f>
        <v>9163</v>
      </c>
      <c r="L38" s="85">
        <f>IF(I38="","",(K38)*$G$37)</f>
        <v>9163</v>
      </c>
      <c r="M38" s="736"/>
      <c r="N38" s="737"/>
      <c r="O38" s="737"/>
      <c r="P38" s="25">
        <f t="shared" si="1"/>
        <v>9163</v>
      </c>
      <c r="Q38" s="738"/>
      <c r="R38" s="738"/>
      <c r="S38" s="739"/>
      <c r="T38" s="539"/>
      <c r="U38" s="735"/>
      <c r="V38" s="712"/>
      <c r="W38" s="191" t="s">
        <v>920</v>
      </c>
    </row>
    <row r="39" spans="1:23" ht="40.5" customHeight="1" x14ac:dyDescent="0.3">
      <c r="A39" s="496">
        <v>18</v>
      </c>
      <c r="B39" s="697" t="s">
        <v>898</v>
      </c>
      <c r="C39" s="699" t="s">
        <v>921</v>
      </c>
      <c r="D39" s="701" t="s">
        <v>922</v>
      </c>
      <c r="E39" s="713" t="s">
        <v>79</v>
      </c>
      <c r="F39" s="704" t="s">
        <v>901</v>
      </c>
      <c r="G39" s="697">
        <v>1</v>
      </c>
      <c r="H39" s="69" t="s">
        <v>828</v>
      </c>
      <c r="I39" s="32">
        <f t="shared" si="2"/>
        <v>5400</v>
      </c>
      <c r="J39" s="33">
        <f t="shared" si="0"/>
        <v>19</v>
      </c>
      <c r="K39" s="195">
        <f>(5400*19%)+5400</f>
        <v>6426</v>
      </c>
      <c r="L39" s="85">
        <f>IF(I39="","",(K39)*$G$39)</f>
        <v>6426</v>
      </c>
      <c r="M39" s="705">
        <f t="shared" ref="M39" si="18">IFERROR(AVERAGE(L39:L40),"")</f>
        <v>5890.5</v>
      </c>
      <c r="N39" s="707">
        <f>IFERROR(HARMEAN(L39:L40),"")</f>
        <v>5841.818181818182</v>
      </c>
      <c r="O39" s="707">
        <f>IFERROR(MEDIAN(L39:L40),"")</f>
        <v>5890.5</v>
      </c>
      <c r="P39" s="25">
        <f t="shared" si="1"/>
        <v>6426</v>
      </c>
      <c r="Q39" s="544">
        <f>IFERROR(SUM(P39:P40)/COUNTA(K39:K40),"")</f>
        <v>5890.5</v>
      </c>
      <c r="R39" s="542">
        <f>IFERROR(_xlfn.STDEV.S(L39:L40),"")</f>
        <v>757.31136265079238</v>
      </c>
      <c r="S39" s="545">
        <f>IFERROR(R39/M39,"")</f>
        <v>0.12856486930664501</v>
      </c>
      <c r="T39" s="692" t="s">
        <v>2076</v>
      </c>
      <c r="U39" s="540">
        <f>M39</f>
        <v>5890.5</v>
      </c>
      <c r="V39" s="695" t="s">
        <v>923</v>
      </c>
      <c r="W39" s="191" t="s">
        <v>924</v>
      </c>
    </row>
    <row r="40" spans="1:23" ht="40.5" customHeight="1" x14ac:dyDescent="0.3">
      <c r="A40" s="496"/>
      <c r="B40" s="697"/>
      <c r="C40" s="699"/>
      <c r="D40" s="701"/>
      <c r="E40" s="713"/>
      <c r="F40" s="704"/>
      <c r="G40" s="697"/>
      <c r="H40" s="69" t="s">
        <v>911</v>
      </c>
      <c r="I40" s="32">
        <f t="shared" si="2"/>
        <v>4500</v>
      </c>
      <c r="J40" s="33">
        <f t="shared" si="0"/>
        <v>19</v>
      </c>
      <c r="K40" s="195">
        <f>(4500*19%)+4500</f>
        <v>5355</v>
      </c>
      <c r="L40" s="85">
        <f>IF(I40="","",(K40)*$G$39)</f>
        <v>5355</v>
      </c>
      <c r="M40" s="705"/>
      <c r="N40" s="707"/>
      <c r="O40" s="707"/>
      <c r="P40" s="25">
        <f t="shared" si="1"/>
        <v>5355</v>
      </c>
      <c r="Q40" s="544"/>
      <c r="R40" s="542"/>
      <c r="S40" s="545"/>
      <c r="T40" s="711"/>
      <c r="U40" s="540"/>
      <c r="V40" s="712"/>
      <c r="W40" s="191" t="s">
        <v>925</v>
      </c>
    </row>
    <row r="41" spans="1:23" ht="40.5" customHeight="1" x14ac:dyDescent="0.3">
      <c r="A41" s="496">
        <v>19</v>
      </c>
      <c r="B41" s="697">
        <v>44121702</v>
      </c>
      <c r="C41" s="699" t="s">
        <v>926</v>
      </c>
      <c r="D41" s="701" t="s">
        <v>927</v>
      </c>
      <c r="E41" s="713" t="s">
        <v>373</v>
      </c>
      <c r="F41" s="704" t="s">
        <v>928</v>
      </c>
      <c r="G41" s="697">
        <v>1</v>
      </c>
      <c r="H41" s="69" t="s">
        <v>929</v>
      </c>
      <c r="I41" s="32">
        <f t="shared" si="2"/>
        <v>121445.37815126051</v>
      </c>
      <c r="J41" s="33">
        <f t="shared" si="0"/>
        <v>18.999999999999996</v>
      </c>
      <c r="K41" s="195">
        <f>(7226*19)+7226</f>
        <v>144520</v>
      </c>
      <c r="L41" s="85">
        <f>IF(I41="","",(K41)*$G$41)</f>
        <v>144520</v>
      </c>
      <c r="M41" s="705">
        <f t="shared" ref="M41" si="19">IFERROR(AVERAGE(L41:L42),"")</f>
        <v>79037.05</v>
      </c>
      <c r="N41" s="707">
        <f>IFERROR(HARMEAN(L41:L42),"")</f>
        <v>24783.801166668036</v>
      </c>
      <c r="O41" s="707">
        <f>IFERROR(MEDIAN(L41:L42),"")</f>
        <v>79037.05</v>
      </c>
      <c r="P41" s="25">
        <f t="shared" si="1"/>
        <v>144520</v>
      </c>
      <c r="Q41" s="544">
        <f>IFERROR(SUM(P41:P42)/COUNTA(K41:K42),"")</f>
        <v>79037.05</v>
      </c>
      <c r="R41" s="542">
        <f>IFERROR(_xlfn.STDEV.S(L41:L42),"")</f>
        <v>92606.875994199261</v>
      </c>
      <c r="S41" s="545">
        <f>IFERROR(R41/M41,"")</f>
        <v>1.171689429124686</v>
      </c>
      <c r="T41" s="692" t="s">
        <v>2076</v>
      </c>
      <c r="U41" s="540">
        <f>M41</f>
        <v>79037.05</v>
      </c>
      <c r="V41" s="695" t="s">
        <v>930</v>
      </c>
      <c r="W41" s="191" t="s">
        <v>931</v>
      </c>
    </row>
    <row r="42" spans="1:23" ht="40.5" customHeight="1" x14ac:dyDescent="0.3">
      <c r="A42" s="496"/>
      <c r="B42" s="697"/>
      <c r="C42" s="699"/>
      <c r="D42" s="701"/>
      <c r="E42" s="713"/>
      <c r="F42" s="704"/>
      <c r="G42" s="697"/>
      <c r="H42" s="69" t="s">
        <v>932</v>
      </c>
      <c r="I42" s="32">
        <f t="shared" si="2"/>
        <v>11390</v>
      </c>
      <c r="J42" s="33">
        <f t="shared" si="0"/>
        <v>19.000000000000004</v>
      </c>
      <c r="K42" s="195">
        <f>(11390*19%)+11390</f>
        <v>13554.1</v>
      </c>
      <c r="L42" s="85">
        <f>IF(I42="","",(K42)*$G$41)</f>
        <v>13554.1</v>
      </c>
      <c r="M42" s="705"/>
      <c r="N42" s="707"/>
      <c r="O42" s="707"/>
      <c r="P42" s="25">
        <f t="shared" si="1"/>
        <v>13554.1</v>
      </c>
      <c r="Q42" s="544"/>
      <c r="R42" s="542"/>
      <c r="S42" s="545"/>
      <c r="T42" s="711"/>
      <c r="U42" s="540"/>
      <c r="V42" s="712"/>
      <c r="W42" s="191" t="s">
        <v>933</v>
      </c>
    </row>
    <row r="43" spans="1:23" ht="40.5" customHeight="1" x14ac:dyDescent="0.3">
      <c r="A43" s="496">
        <v>20</v>
      </c>
      <c r="B43" s="697">
        <v>60121524</v>
      </c>
      <c r="C43" s="699" t="s">
        <v>934</v>
      </c>
      <c r="D43" s="701" t="s">
        <v>935</v>
      </c>
      <c r="E43" s="713" t="s">
        <v>79</v>
      </c>
      <c r="F43" s="704" t="s">
        <v>79</v>
      </c>
      <c r="G43" s="697">
        <v>1</v>
      </c>
      <c r="H43" s="69" t="s">
        <v>936</v>
      </c>
      <c r="I43" s="32">
        <f t="shared" si="2"/>
        <v>2322</v>
      </c>
      <c r="J43" s="33">
        <f t="shared" si="0"/>
        <v>18.999999999999993</v>
      </c>
      <c r="K43" s="195">
        <f>(2322*19%)+2322</f>
        <v>2763.18</v>
      </c>
      <c r="L43" s="85">
        <f>IF(I43="","",(K43)*$G$43)</f>
        <v>2763.18</v>
      </c>
      <c r="M43" s="705">
        <f t="shared" ref="M43" si="20">IFERROR(AVERAGE(L43:L44),"")</f>
        <v>3868.6899999999996</v>
      </c>
      <c r="N43" s="707">
        <f>IFERROR(HARMEAN(L43:L44),"")</f>
        <v>3552.7814211011996</v>
      </c>
      <c r="O43" s="707">
        <f>IFERROR(MEDIAN(L43:L44),"")</f>
        <v>3868.6899999999996</v>
      </c>
      <c r="P43" s="25">
        <f t="shared" si="1"/>
        <v>2763.18</v>
      </c>
      <c r="Q43" s="544">
        <f>IFERROR(SUM(P43:P44)/COUNTA(K43:K44),"")</f>
        <v>3868.6899999999996</v>
      </c>
      <c r="R43" s="542">
        <f>IFERROR(_xlfn.STDEV.S(L43:L44),"")</f>
        <v>1563.4272353390811</v>
      </c>
      <c r="S43" s="545">
        <f>IFERROR(R43/M43,"")</f>
        <v>0.40412316193313014</v>
      </c>
      <c r="T43" s="692" t="s">
        <v>2076</v>
      </c>
      <c r="U43" s="540">
        <f>M43</f>
        <v>3868.6899999999996</v>
      </c>
      <c r="V43" s="695" t="s">
        <v>937</v>
      </c>
      <c r="W43" s="191" t="s">
        <v>938</v>
      </c>
    </row>
    <row r="44" spans="1:23" ht="40.5" customHeight="1" x14ac:dyDescent="0.3">
      <c r="A44" s="496"/>
      <c r="B44" s="697"/>
      <c r="C44" s="699"/>
      <c r="D44" s="701"/>
      <c r="E44" s="713"/>
      <c r="F44" s="704"/>
      <c r="G44" s="697"/>
      <c r="H44" s="69" t="s">
        <v>823</v>
      </c>
      <c r="I44" s="32">
        <f t="shared" si="2"/>
        <v>4180</v>
      </c>
      <c r="J44" s="33">
        <f t="shared" si="0"/>
        <v>18.999999999999993</v>
      </c>
      <c r="K44" s="195">
        <f>(4180*19%)+4180</f>
        <v>4974.2</v>
      </c>
      <c r="L44" s="85">
        <f>IF(I44="","",(K44)*$G$43)</f>
        <v>4974.2</v>
      </c>
      <c r="M44" s="705"/>
      <c r="N44" s="707"/>
      <c r="O44" s="707"/>
      <c r="P44" s="25">
        <f t="shared" si="1"/>
        <v>4974.2</v>
      </c>
      <c r="Q44" s="544"/>
      <c r="R44" s="542"/>
      <c r="S44" s="545"/>
      <c r="T44" s="711"/>
      <c r="U44" s="540"/>
      <c r="V44" s="712"/>
      <c r="W44" s="191" t="s">
        <v>939</v>
      </c>
    </row>
    <row r="45" spans="1:23" ht="40.5" customHeight="1" x14ac:dyDescent="0.25">
      <c r="A45" s="496">
        <v>21</v>
      </c>
      <c r="B45" s="697">
        <v>60121526</v>
      </c>
      <c r="C45" s="699" t="s">
        <v>940</v>
      </c>
      <c r="D45" s="701" t="s">
        <v>941</v>
      </c>
      <c r="E45" s="713" t="s">
        <v>79</v>
      </c>
      <c r="F45" s="704" t="s">
        <v>570</v>
      </c>
      <c r="G45" s="697">
        <v>1</v>
      </c>
      <c r="H45" s="69" t="s">
        <v>820</v>
      </c>
      <c r="I45" s="32">
        <f t="shared" si="2"/>
        <v>5083.5294117647054</v>
      </c>
      <c r="J45" s="33">
        <f t="shared" si="0"/>
        <v>19.000000000000004</v>
      </c>
      <c r="K45" s="195">
        <v>6049.4</v>
      </c>
      <c r="L45" s="85">
        <f>IF(I45="","",(K45)*$G$45)</f>
        <v>6049.4</v>
      </c>
      <c r="M45" s="705">
        <f t="shared" ref="M45" si="21">IFERROR(AVERAGE(L45:L46),"")</f>
        <v>9688.7000000000007</v>
      </c>
      <c r="N45" s="707">
        <f>IFERROR(HARMEAN(L45:L46),"")</f>
        <v>8321.6946752402291</v>
      </c>
      <c r="O45" s="707">
        <f>IFERROR(MEDIAN(L45:L46),"")</f>
        <v>9688.7000000000007</v>
      </c>
      <c r="P45" s="25">
        <f t="shared" si="1"/>
        <v>6049.4</v>
      </c>
      <c r="Q45" s="544">
        <f>IFERROR(SUM(P45:P46)/COUNTA(K45:K46),"")</f>
        <v>9688.7000000000007</v>
      </c>
      <c r="R45" s="542">
        <f>IFERROR(_xlfn.STDEV.S(L45:L46),"")</f>
        <v>5146.7474175444013</v>
      </c>
      <c r="S45" s="545">
        <f>IFERROR(R45/M45,"")</f>
        <v>0.5312113511146388</v>
      </c>
      <c r="T45" s="539" t="s">
        <v>2075</v>
      </c>
      <c r="U45" s="540">
        <f>M45</f>
        <v>9688.7000000000007</v>
      </c>
      <c r="V45" s="695" t="s">
        <v>942</v>
      </c>
      <c r="W45" s="189" t="s">
        <v>822</v>
      </c>
    </row>
    <row r="46" spans="1:23" ht="40.5" customHeight="1" x14ac:dyDescent="0.3">
      <c r="A46" s="496"/>
      <c r="B46" s="697"/>
      <c r="C46" s="699"/>
      <c r="D46" s="701"/>
      <c r="E46" s="713"/>
      <c r="F46" s="704"/>
      <c r="G46" s="697"/>
      <c r="H46" s="69" t="s">
        <v>842</v>
      </c>
      <c r="I46" s="32">
        <f t="shared" si="2"/>
        <v>11200</v>
      </c>
      <c r="J46" s="33">
        <f t="shared" si="0"/>
        <v>19</v>
      </c>
      <c r="K46" s="195">
        <f>(11200*19%)+11200</f>
        <v>13328</v>
      </c>
      <c r="L46" s="85">
        <f>IF(I46="","",(K46)*$G$45)</f>
        <v>13328</v>
      </c>
      <c r="M46" s="705"/>
      <c r="N46" s="707"/>
      <c r="O46" s="707"/>
      <c r="P46" s="25">
        <f t="shared" si="1"/>
        <v>13328</v>
      </c>
      <c r="Q46" s="544"/>
      <c r="R46" s="542"/>
      <c r="S46" s="545"/>
      <c r="T46" s="539"/>
      <c r="U46" s="540"/>
      <c r="V46" s="712"/>
      <c r="W46" s="191" t="s">
        <v>943</v>
      </c>
    </row>
    <row r="47" spans="1:23" ht="40.5" customHeight="1" x14ac:dyDescent="0.3">
      <c r="A47" s="496">
        <v>22</v>
      </c>
      <c r="B47" s="697">
        <v>24111503</v>
      </c>
      <c r="C47" s="699" t="s">
        <v>944</v>
      </c>
      <c r="D47" s="701" t="s">
        <v>944</v>
      </c>
      <c r="E47" s="713" t="s">
        <v>290</v>
      </c>
      <c r="F47" s="704" t="s">
        <v>945</v>
      </c>
      <c r="G47" s="697">
        <v>1</v>
      </c>
      <c r="H47" s="69" t="s">
        <v>946</v>
      </c>
      <c r="I47" s="32">
        <f t="shared" si="2"/>
        <v>4399.0000000000009</v>
      </c>
      <c r="J47" s="33">
        <f t="shared" si="0"/>
        <v>18.999999999999982</v>
      </c>
      <c r="K47" s="195">
        <f>(4399*19%)+4399</f>
        <v>5234.8100000000004</v>
      </c>
      <c r="L47" s="85">
        <f>IF(I47="","",(K47)*$G$47)</f>
        <v>5234.8100000000004</v>
      </c>
      <c r="M47" s="705">
        <f t="shared" ref="M47" si="22">IFERROR(AVERAGE(L47:L48),"")</f>
        <v>6414.1</v>
      </c>
      <c r="N47" s="707">
        <f>IFERROR(HARMEAN(L47:L48),"")</f>
        <v>6197.2769220779219</v>
      </c>
      <c r="O47" s="707">
        <f>IFERROR(MEDIAN(L47:L48),"")</f>
        <v>6414.1</v>
      </c>
      <c r="P47" s="25">
        <f t="shared" si="1"/>
        <v>5234.8100000000004</v>
      </c>
      <c r="Q47" s="544">
        <f>IFERROR(SUM(P47:P48)/COUNTA(K47:K48),"")</f>
        <v>6414.1</v>
      </c>
      <c r="R47" s="542">
        <f>IFERROR(_xlfn.STDEV.S(L47:L48),"")</f>
        <v>1667.7679119709678</v>
      </c>
      <c r="S47" s="545">
        <f>IFERROR(R47/M47,"")</f>
        <v>0.26001588874058212</v>
      </c>
      <c r="T47" s="692" t="s">
        <v>2076</v>
      </c>
      <c r="U47" s="540">
        <f>M47</f>
        <v>6414.1</v>
      </c>
      <c r="V47" s="718" t="s">
        <v>947</v>
      </c>
      <c r="W47" s="192" t="s">
        <v>948</v>
      </c>
    </row>
    <row r="48" spans="1:23" ht="40.5" customHeight="1" x14ac:dyDescent="0.3">
      <c r="A48" s="496"/>
      <c r="B48" s="697"/>
      <c r="C48" s="699"/>
      <c r="D48" s="701"/>
      <c r="E48" s="713"/>
      <c r="F48" s="704"/>
      <c r="G48" s="697"/>
      <c r="H48" s="69" t="s">
        <v>949</v>
      </c>
      <c r="I48" s="32">
        <f t="shared" si="2"/>
        <v>6381.0000000000009</v>
      </c>
      <c r="J48" s="33">
        <f t="shared" si="0"/>
        <v>18.999999999999989</v>
      </c>
      <c r="K48" s="195">
        <f>(6381*19%)+6381</f>
        <v>7593.39</v>
      </c>
      <c r="L48" s="85">
        <f>IF(I48="","",(K48)*$G$47)</f>
        <v>7593.39</v>
      </c>
      <c r="M48" s="705"/>
      <c r="N48" s="707"/>
      <c r="O48" s="707"/>
      <c r="P48" s="25">
        <f t="shared" si="1"/>
        <v>7593.39</v>
      </c>
      <c r="Q48" s="544"/>
      <c r="R48" s="542"/>
      <c r="S48" s="545"/>
      <c r="T48" s="711"/>
      <c r="U48" s="540"/>
      <c r="V48" s="719"/>
      <c r="W48" s="192" t="s">
        <v>950</v>
      </c>
    </row>
    <row r="49" spans="1:23" ht="40.5" customHeight="1" x14ac:dyDescent="0.3">
      <c r="A49" s="496">
        <v>23</v>
      </c>
      <c r="B49" s="697">
        <v>24111503</v>
      </c>
      <c r="C49" s="699" t="s">
        <v>951</v>
      </c>
      <c r="D49" s="701" t="s">
        <v>951</v>
      </c>
      <c r="E49" s="713" t="s">
        <v>290</v>
      </c>
      <c r="F49" s="704" t="s">
        <v>945</v>
      </c>
      <c r="G49" s="697">
        <v>1</v>
      </c>
      <c r="H49" s="69" t="s">
        <v>952</v>
      </c>
      <c r="I49" s="32">
        <f t="shared" si="2"/>
        <v>4508.0000000000009</v>
      </c>
      <c r="J49" s="33">
        <f t="shared" si="0"/>
        <v>18.999999999999986</v>
      </c>
      <c r="K49" s="195">
        <f>(4508*19%)+4508</f>
        <v>5364.52</v>
      </c>
      <c r="L49" s="85">
        <f>IF(I49="","",(K49)*$G$49)</f>
        <v>5364.52</v>
      </c>
      <c r="M49" s="705">
        <f t="shared" ref="M49" si="23">IFERROR(AVERAGE(L49:L50),"")</f>
        <v>4924.22</v>
      </c>
      <c r="N49" s="707">
        <f>IFERROR(HARMEAN(L49:L50),"")</f>
        <v>4884.8504978250367</v>
      </c>
      <c r="O49" s="707">
        <f>IFERROR(MEDIAN(L49:L50),"")</f>
        <v>4924.22</v>
      </c>
      <c r="P49" s="25">
        <f t="shared" si="1"/>
        <v>5364.52</v>
      </c>
      <c r="Q49" s="544">
        <f>IFERROR(SUM(P49:P50)/COUNTA(K49:K50),"")</f>
        <v>4924.22</v>
      </c>
      <c r="R49" s="542">
        <f>IFERROR(_xlfn.STDEV.S(L49:L50),"")</f>
        <v>622.67823151287405</v>
      </c>
      <c r="S49" s="545">
        <f>IFERROR(R49/M49,"")</f>
        <v>0.12645215516627487</v>
      </c>
      <c r="T49" s="692" t="s">
        <v>2076</v>
      </c>
      <c r="U49" s="540">
        <f>M49</f>
        <v>4924.22</v>
      </c>
      <c r="V49" s="695" t="s">
        <v>953</v>
      </c>
      <c r="W49" s="190" t="s">
        <v>954</v>
      </c>
    </row>
    <row r="50" spans="1:23" ht="40.5" customHeight="1" x14ac:dyDescent="0.3">
      <c r="A50" s="496"/>
      <c r="B50" s="697"/>
      <c r="C50" s="699"/>
      <c r="D50" s="701"/>
      <c r="E50" s="713"/>
      <c r="F50" s="704"/>
      <c r="G50" s="697"/>
      <c r="H50" s="69" t="s">
        <v>949</v>
      </c>
      <c r="I50" s="32">
        <f t="shared" si="2"/>
        <v>3768.0000000000005</v>
      </c>
      <c r="J50" s="33">
        <f t="shared" si="0"/>
        <v>18.999999999999986</v>
      </c>
      <c r="K50" s="195">
        <f>(3768*19%)+3768</f>
        <v>4483.92</v>
      </c>
      <c r="L50" s="85">
        <f>IF(I50="","",(K50)*$G$49)</f>
        <v>4483.92</v>
      </c>
      <c r="M50" s="705"/>
      <c r="N50" s="707"/>
      <c r="O50" s="707"/>
      <c r="P50" s="25">
        <f t="shared" si="1"/>
        <v>4483.92</v>
      </c>
      <c r="Q50" s="544"/>
      <c r="R50" s="542"/>
      <c r="S50" s="545"/>
      <c r="T50" s="711"/>
      <c r="U50" s="540"/>
      <c r="V50" s="712"/>
      <c r="W50" s="190" t="s">
        <v>955</v>
      </c>
    </row>
    <row r="51" spans="1:23" ht="40.5" customHeight="1" x14ac:dyDescent="0.3">
      <c r="A51" s="496">
        <v>24</v>
      </c>
      <c r="B51" s="697">
        <v>24111503</v>
      </c>
      <c r="C51" s="699" t="s">
        <v>956</v>
      </c>
      <c r="D51" s="701" t="s">
        <v>956</v>
      </c>
      <c r="E51" s="713" t="s">
        <v>290</v>
      </c>
      <c r="F51" s="704" t="s">
        <v>945</v>
      </c>
      <c r="G51" s="697">
        <v>1</v>
      </c>
      <c r="H51" s="69" t="s">
        <v>946</v>
      </c>
      <c r="I51" s="32">
        <f t="shared" si="2"/>
        <v>3023</v>
      </c>
      <c r="J51" s="33">
        <f t="shared" si="0"/>
        <v>18.999999999999996</v>
      </c>
      <c r="K51" s="195">
        <f>(3023*19%)+3023</f>
        <v>3597.37</v>
      </c>
      <c r="L51" s="85">
        <f>IF(I51="","",(K51)*$G$51)</f>
        <v>3597.37</v>
      </c>
      <c r="M51" s="705">
        <f t="shared" ref="M51" si="24">IFERROR(AVERAGE(L51:L52),"")</f>
        <v>3836.56</v>
      </c>
      <c r="N51" s="707">
        <f>IFERROR(HARMEAN(L51:L52),"")</f>
        <v>3821.6477202233255</v>
      </c>
      <c r="O51" s="707">
        <f>IFERROR(MEDIAN(L51:L52),"")</f>
        <v>3836.56</v>
      </c>
      <c r="P51" s="25">
        <f t="shared" si="1"/>
        <v>3597.37</v>
      </c>
      <c r="Q51" s="544">
        <f>IFERROR(SUM(P51:P52)/COUNTA(K51:K52),"")</f>
        <v>3836.56</v>
      </c>
      <c r="R51" s="542">
        <f>IFERROR(_xlfn.STDEV.S(L51:L52),"")</f>
        <v>338.26574198402068</v>
      </c>
      <c r="S51" s="545">
        <f>IFERROR(R51/M51,"")</f>
        <v>8.8169021723632807E-2</v>
      </c>
      <c r="T51" s="692" t="s">
        <v>2076</v>
      </c>
      <c r="U51" s="540">
        <f>M51</f>
        <v>3836.56</v>
      </c>
      <c r="V51" s="718" t="s">
        <v>957</v>
      </c>
      <c r="W51" s="191" t="s">
        <v>958</v>
      </c>
    </row>
    <row r="52" spans="1:23" ht="40.5" customHeight="1" x14ac:dyDescent="0.3">
      <c r="A52" s="496"/>
      <c r="B52" s="697"/>
      <c r="C52" s="699"/>
      <c r="D52" s="701"/>
      <c r="E52" s="713"/>
      <c r="F52" s="704"/>
      <c r="G52" s="697"/>
      <c r="H52" s="69" t="s">
        <v>952</v>
      </c>
      <c r="I52" s="32">
        <f t="shared" si="2"/>
        <v>3425</v>
      </c>
      <c r="J52" s="33">
        <f t="shared" si="0"/>
        <v>19</v>
      </c>
      <c r="K52" s="195">
        <f>(3425 *19%)+3425</f>
        <v>4075.75</v>
      </c>
      <c r="L52" s="85">
        <f>IF(I52="","",(K52)*$G$51)</f>
        <v>4075.75</v>
      </c>
      <c r="M52" s="705"/>
      <c r="N52" s="707"/>
      <c r="O52" s="707"/>
      <c r="P52" s="25">
        <f t="shared" si="1"/>
        <v>4075.75</v>
      </c>
      <c r="Q52" s="544"/>
      <c r="R52" s="542"/>
      <c r="S52" s="545"/>
      <c r="T52" s="711"/>
      <c r="U52" s="540"/>
      <c r="V52" s="719"/>
      <c r="W52" s="192" t="s">
        <v>959</v>
      </c>
    </row>
    <row r="53" spans="1:23" ht="40.5" customHeight="1" x14ac:dyDescent="0.3">
      <c r="A53" s="496">
        <v>25</v>
      </c>
      <c r="B53" s="697">
        <v>24111515</v>
      </c>
      <c r="C53" s="699" t="s">
        <v>960</v>
      </c>
      <c r="D53" s="701" t="s">
        <v>961</v>
      </c>
      <c r="E53" s="713" t="s">
        <v>79</v>
      </c>
      <c r="F53" s="704" t="s">
        <v>570</v>
      </c>
      <c r="G53" s="697">
        <v>1</v>
      </c>
      <c r="H53" s="69" t="s">
        <v>962</v>
      </c>
      <c r="I53" s="32">
        <f t="shared" si="2"/>
        <v>1480</v>
      </c>
      <c r="J53" s="33">
        <f t="shared" si="0"/>
        <v>19.000000000000004</v>
      </c>
      <c r="K53" s="195">
        <f>(1480*19%)+1480</f>
        <v>1761.2</v>
      </c>
      <c r="L53" s="85">
        <f>IF(I53="","",(K53)*$G$53)</f>
        <v>1761.2</v>
      </c>
      <c r="M53" s="706">
        <f t="shared" ref="M53" si="25">IFERROR(AVERAGE(L53:L54),"")</f>
        <v>2459.73</v>
      </c>
      <c r="N53" s="708">
        <f>IFERROR(HARMEAN(L53:L54),"")</f>
        <v>2261.3569424286407</v>
      </c>
      <c r="O53" s="708">
        <f>IFERROR(MEDIAN(L53:L54),"")</f>
        <v>2459.73</v>
      </c>
      <c r="P53" s="25">
        <f t="shared" si="1"/>
        <v>1761.2</v>
      </c>
      <c r="Q53" s="710">
        <f>IFERROR(SUM(P53:P54)/COUNTA(K53:K54),"")</f>
        <v>2459.73</v>
      </c>
      <c r="R53" s="710">
        <f>IFERROR(_xlfn.STDEV.S(L53:L54),"")</f>
        <v>987.87059972447855</v>
      </c>
      <c r="S53" s="710">
        <f>IFERROR(R53/M53,"")</f>
        <v>0.40161749449105333</v>
      </c>
      <c r="T53" s="692" t="s">
        <v>2076</v>
      </c>
      <c r="U53" s="694">
        <f>M53</f>
        <v>2459.73</v>
      </c>
      <c r="V53" s="695" t="s">
        <v>963</v>
      </c>
      <c r="W53" s="192" t="s">
        <v>964</v>
      </c>
    </row>
    <row r="54" spans="1:23" ht="40.5" customHeight="1" x14ac:dyDescent="0.3">
      <c r="A54" s="496"/>
      <c r="B54" s="697"/>
      <c r="C54" s="699"/>
      <c r="D54" s="701"/>
      <c r="E54" s="713"/>
      <c r="F54" s="704"/>
      <c r="G54" s="697"/>
      <c r="H54" s="69" t="s">
        <v>965</v>
      </c>
      <c r="I54" s="32">
        <f t="shared" si="2"/>
        <v>2654.0000000000005</v>
      </c>
      <c r="J54" s="33">
        <f t="shared" si="0"/>
        <v>18.999999999999989</v>
      </c>
      <c r="K54" s="195">
        <f>(2654*19%)+2654</f>
        <v>3158.26</v>
      </c>
      <c r="L54" s="85">
        <f>IF(I54="","",(K54)*$G$53)</f>
        <v>3158.26</v>
      </c>
      <c r="M54" s="736"/>
      <c r="N54" s="737"/>
      <c r="O54" s="737"/>
      <c r="P54" s="25">
        <f t="shared" si="1"/>
        <v>3158.26</v>
      </c>
      <c r="Q54" s="734"/>
      <c r="R54" s="734"/>
      <c r="S54" s="734"/>
      <c r="T54" s="711"/>
      <c r="U54" s="735"/>
      <c r="V54" s="712"/>
      <c r="W54" s="192" t="s">
        <v>966</v>
      </c>
    </row>
    <row r="55" spans="1:23" ht="40.5" customHeight="1" x14ac:dyDescent="0.3">
      <c r="A55" s="496">
        <v>26</v>
      </c>
      <c r="B55" s="697">
        <v>14111530</v>
      </c>
      <c r="C55" s="699" t="s">
        <v>967</v>
      </c>
      <c r="D55" s="701" t="s">
        <v>968</v>
      </c>
      <c r="E55" s="669" t="s">
        <v>373</v>
      </c>
      <c r="F55" s="704" t="s">
        <v>969</v>
      </c>
      <c r="G55" s="697">
        <v>1</v>
      </c>
      <c r="H55" s="71" t="s">
        <v>874</v>
      </c>
      <c r="I55" s="32">
        <f t="shared" si="2"/>
        <v>29427.731092436978</v>
      </c>
      <c r="J55" s="33">
        <f t="shared" si="0"/>
        <v>18.999999999999989</v>
      </c>
      <c r="K55" s="195">
        <v>35019</v>
      </c>
      <c r="L55" s="85">
        <f>IF(I55="","",(K55)*$G$55)</f>
        <v>35019</v>
      </c>
      <c r="M55" s="705">
        <f t="shared" ref="M55" si="26">IFERROR(AVERAGE(L55:L56),"")</f>
        <v>27911.5</v>
      </c>
      <c r="N55" s="707">
        <f>IFERROR(HARMEAN(L55:L56),"")</f>
        <v>26101.616752951293</v>
      </c>
      <c r="O55" s="707">
        <f>IFERROR(MEDIAN(L55:L56),"")</f>
        <v>27911.5</v>
      </c>
      <c r="P55" s="25">
        <f t="shared" si="1"/>
        <v>35019</v>
      </c>
      <c r="Q55" s="544">
        <f>IFERROR(SUM(P55:P56)/COUNTA(K55:K56),"")</f>
        <v>27911.5</v>
      </c>
      <c r="R55" s="542">
        <f>IFERROR(_xlfn.STDEV.S(L55:L56),"")</f>
        <v>10051.522894566773</v>
      </c>
      <c r="S55" s="545">
        <f>IFERROR(R55/M55,"")</f>
        <v>0.3601212007440221</v>
      </c>
      <c r="T55" s="539" t="s">
        <v>881</v>
      </c>
      <c r="U55" s="540">
        <f>M55</f>
        <v>27911.5</v>
      </c>
      <c r="V55" s="714" t="s">
        <v>882</v>
      </c>
      <c r="W55" s="190"/>
    </row>
    <row r="56" spans="1:23" ht="40.5" customHeight="1" x14ac:dyDescent="0.3">
      <c r="A56" s="496"/>
      <c r="B56" s="697"/>
      <c r="C56" s="699"/>
      <c r="D56" s="701"/>
      <c r="E56" s="669"/>
      <c r="F56" s="704"/>
      <c r="G56" s="697"/>
      <c r="H56" s="71" t="s">
        <v>820</v>
      </c>
      <c r="I56" s="32">
        <f t="shared" si="2"/>
        <v>17482.352941176472</v>
      </c>
      <c r="J56" s="33">
        <f t="shared" si="0"/>
        <v>18.999999999999989</v>
      </c>
      <c r="K56" s="195">
        <v>20804</v>
      </c>
      <c r="L56" s="85">
        <f>IF(I56="","",(K56)*$G$55)</f>
        <v>20804</v>
      </c>
      <c r="M56" s="705"/>
      <c r="N56" s="707"/>
      <c r="O56" s="707"/>
      <c r="P56" s="25">
        <f t="shared" si="1"/>
        <v>20804</v>
      </c>
      <c r="Q56" s="544"/>
      <c r="R56" s="542"/>
      <c r="S56" s="545"/>
      <c r="T56" s="539"/>
      <c r="U56" s="540"/>
      <c r="V56" s="715"/>
      <c r="W56" s="190"/>
    </row>
    <row r="57" spans="1:23" ht="40.5" customHeight="1" x14ac:dyDescent="0.3">
      <c r="A57" s="496">
        <v>27</v>
      </c>
      <c r="B57" s="697">
        <v>31211904</v>
      </c>
      <c r="C57" s="699" t="s">
        <v>970</v>
      </c>
      <c r="D57" s="701" t="s">
        <v>971</v>
      </c>
      <c r="E57" s="713" t="s">
        <v>79</v>
      </c>
      <c r="F57" s="704" t="s">
        <v>79</v>
      </c>
      <c r="G57" s="697">
        <v>1</v>
      </c>
      <c r="H57" s="69" t="s">
        <v>736</v>
      </c>
      <c r="I57" s="32">
        <f t="shared" si="2"/>
        <v>4900</v>
      </c>
      <c r="J57" s="33">
        <f t="shared" si="0"/>
        <v>19</v>
      </c>
      <c r="K57" s="195">
        <f>(4900*19%)+4900</f>
        <v>5831</v>
      </c>
      <c r="L57" s="85">
        <f>IF(I57="","",(K57)*$G$57)</f>
        <v>5831</v>
      </c>
      <c r="M57" s="705">
        <f t="shared" ref="M57" si="27">IFERROR(AVERAGE(L57:L58),"")</f>
        <v>5945.24</v>
      </c>
      <c r="N57" s="707">
        <f>IFERROR(HARMEAN(L57:L58),"")</f>
        <v>5943.0448358686945</v>
      </c>
      <c r="O57" s="707">
        <f>IFERROR(MEDIAN(L57:L58),"")</f>
        <v>5945.24</v>
      </c>
      <c r="P57" s="25">
        <f t="shared" si="1"/>
        <v>5831</v>
      </c>
      <c r="Q57" s="544">
        <f>IFERROR(SUM(P57:P58)/COUNTA(K57:K58),"")</f>
        <v>5945.24</v>
      </c>
      <c r="R57" s="542">
        <f>IFERROR(_xlfn.STDEV.S(L57:L58),"")</f>
        <v>161.55975736550207</v>
      </c>
      <c r="S57" s="545">
        <f>IFERROR(R57/M57,"")</f>
        <v>2.7174640109651094E-2</v>
      </c>
      <c r="T57" s="692" t="s">
        <v>2076</v>
      </c>
      <c r="U57" s="540">
        <f t="shared" ref="U57:U120" si="28">M57</f>
        <v>5945.24</v>
      </c>
      <c r="V57" s="695" t="s">
        <v>972</v>
      </c>
      <c r="W57" s="192" t="s">
        <v>973</v>
      </c>
    </row>
    <row r="58" spans="1:23" ht="40.5" customHeight="1" x14ac:dyDescent="0.3">
      <c r="A58" s="496"/>
      <c r="B58" s="697"/>
      <c r="C58" s="699"/>
      <c r="D58" s="701"/>
      <c r="E58" s="713"/>
      <c r="F58" s="704"/>
      <c r="G58" s="697"/>
      <c r="H58" s="69" t="s">
        <v>974</v>
      </c>
      <c r="I58" s="32">
        <f t="shared" si="2"/>
        <v>5092</v>
      </c>
      <c r="J58" s="33">
        <f t="shared" si="0"/>
        <v>18.999999999999993</v>
      </c>
      <c r="K58" s="195">
        <f>(5092*19%)+5092</f>
        <v>6059.48</v>
      </c>
      <c r="L58" s="85">
        <f>IF(I58="","",(K58)*$G$57)</f>
        <v>6059.48</v>
      </c>
      <c r="M58" s="705"/>
      <c r="N58" s="707"/>
      <c r="O58" s="707"/>
      <c r="P58" s="25">
        <f t="shared" si="1"/>
        <v>6059.48</v>
      </c>
      <c r="Q58" s="544"/>
      <c r="R58" s="542"/>
      <c r="S58" s="545"/>
      <c r="T58" s="711"/>
      <c r="U58" s="540">
        <f t="shared" si="28"/>
        <v>0</v>
      </c>
      <c r="V58" s="712"/>
      <c r="W58" s="193" t="s">
        <v>975</v>
      </c>
    </row>
    <row r="59" spans="1:23" ht="40.5" customHeight="1" x14ac:dyDescent="0.25">
      <c r="A59" s="496">
        <v>28</v>
      </c>
      <c r="B59" s="697">
        <v>44121707</v>
      </c>
      <c r="C59" s="699" t="s">
        <v>976</v>
      </c>
      <c r="D59" s="701" t="s">
        <v>977</v>
      </c>
      <c r="E59" s="669" t="s">
        <v>373</v>
      </c>
      <c r="F59" s="704" t="s">
        <v>978</v>
      </c>
      <c r="G59" s="697">
        <v>1</v>
      </c>
      <c r="H59" s="71" t="s">
        <v>874</v>
      </c>
      <c r="I59" s="32">
        <f t="shared" si="2"/>
        <v>66753.781512605041</v>
      </c>
      <c r="J59" s="33">
        <f t="shared" si="0"/>
        <v>19.000000000000004</v>
      </c>
      <c r="K59" s="195">
        <v>79437</v>
      </c>
      <c r="L59" s="85">
        <f>IF(I59="","",(K59)*$G$59)</f>
        <v>79437</v>
      </c>
      <c r="M59" s="705">
        <f t="shared" ref="M59" si="29">IFERROR(AVERAGE(L59:L60),"")</f>
        <v>89817.5</v>
      </c>
      <c r="N59" s="707">
        <f>IFERROR(HARMEAN(L59:L60),"")</f>
        <v>88617.791922509539</v>
      </c>
      <c r="O59" s="707">
        <f>IFERROR(MEDIAN(L59:L60),"")</f>
        <v>89817.5</v>
      </c>
      <c r="P59" s="25">
        <f t="shared" si="1"/>
        <v>79437</v>
      </c>
      <c r="Q59" s="544">
        <f>IFERROR(SUM(P59:P60)/COUNTA(K59:K60),"")</f>
        <v>89817.5</v>
      </c>
      <c r="R59" s="542">
        <f>IFERROR(_xlfn.STDEV.S(L59:L60),"")</f>
        <v>14680.243884213913</v>
      </c>
      <c r="S59" s="545">
        <f>IFERROR(R59/M59,"")</f>
        <v>0.16344525158475701</v>
      </c>
      <c r="T59" s="539" t="s">
        <v>2075</v>
      </c>
      <c r="U59" s="540">
        <f t="shared" si="28"/>
        <v>89817.5</v>
      </c>
      <c r="V59" s="695" t="s">
        <v>979</v>
      </c>
      <c r="W59" s="189" t="s">
        <v>876</v>
      </c>
    </row>
    <row r="60" spans="1:23" ht="40.5" customHeight="1" x14ac:dyDescent="0.3">
      <c r="A60" s="496"/>
      <c r="B60" s="697"/>
      <c r="C60" s="699"/>
      <c r="D60" s="701"/>
      <c r="E60" s="669"/>
      <c r="F60" s="704"/>
      <c r="G60" s="697"/>
      <c r="H60" s="69" t="s">
        <v>980</v>
      </c>
      <c r="I60" s="32">
        <f t="shared" si="2"/>
        <v>84200</v>
      </c>
      <c r="J60" s="33">
        <f t="shared" si="0"/>
        <v>19</v>
      </c>
      <c r="K60" s="195">
        <f>(84200*19%)+84200</f>
        <v>100198</v>
      </c>
      <c r="L60" s="85">
        <f>IF(I60="","",(K60)*$G$59)</f>
        <v>100198</v>
      </c>
      <c r="M60" s="705"/>
      <c r="N60" s="707"/>
      <c r="O60" s="707"/>
      <c r="P60" s="25">
        <f t="shared" si="1"/>
        <v>100198</v>
      </c>
      <c r="Q60" s="544"/>
      <c r="R60" s="542"/>
      <c r="S60" s="545"/>
      <c r="T60" s="539"/>
      <c r="U60" s="540">
        <f t="shared" si="28"/>
        <v>0</v>
      </c>
      <c r="V60" s="712"/>
      <c r="W60" s="192" t="s">
        <v>981</v>
      </c>
    </row>
    <row r="61" spans="1:23" ht="40.5" customHeight="1" x14ac:dyDescent="0.25">
      <c r="A61" s="496">
        <v>29</v>
      </c>
      <c r="B61" s="697">
        <v>44121715</v>
      </c>
      <c r="C61" s="699" t="s">
        <v>982</v>
      </c>
      <c r="D61" s="701" t="s">
        <v>983</v>
      </c>
      <c r="E61" s="669" t="s">
        <v>373</v>
      </c>
      <c r="F61" s="704" t="s">
        <v>984</v>
      </c>
      <c r="G61" s="697">
        <v>1</v>
      </c>
      <c r="H61" s="71" t="s">
        <v>874</v>
      </c>
      <c r="I61" s="32">
        <f t="shared" si="2"/>
        <v>20052.100840336134</v>
      </c>
      <c r="J61" s="33">
        <f t="shared" si="0"/>
        <v>19.000000000000004</v>
      </c>
      <c r="K61" s="195">
        <v>23862</v>
      </c>
      <c r="L61" s="85">
        <f>IF(I61="","",(K61)*$G$61)</f>
        <v>23862</v>
      </c>
      <c r="M61" s="705">
        <f t="shared" ref="M61" si="30">IFERROR(AVERAGE(L61:L62),"")</f>
        <v>20499</v>
      </c>
      <c r="N61" s="707">
        <f>IFERROR(HARMEAN(L61:L62),"")</f>
        <v>19947.277037904285</v>
      </c>
      <c r="O61" s="707">
        <f>IFERROR(MEDIAN(L61:L62),"")</f>
        <v>20499</v>
      </c>
      <c r="P61" s="25">
        <f t="shared" si="1"/>
        <v>23862</v>
      </c>
      <c r="Q61" s="544">
        <f>IFERROR(SUM(P61:P62)/COUNTA(K61:K62),"")</f>
        <v>20499</v>
      </c>
      <c r="R61" s="542">
        <f>IFERROR(_xlfn.STDEV.S(L61:L62),"")</f>
        <v>4756.0002102607186</v>
      </c>
      <c r="S61" s="545">
        <f>IFERROR(R61/M61,"")</f>
        <v>0.23201132788237078</v>
      </c>
      <c r="T61" s="539" t="s">
        <v>2075</v>
      </c>
      <c r="U61" s="540">
        <f t="shared" si="28"/>
        <v>20499</v>
      </c>
      <c r="V61" s="695" t="s">
        <v>985</v>
      </c>
      <c r="W61" s="189" t="s">
        <v>876</v>
      </c>
    </row>
    <row r="62" spans="1:23" ht="40.5" customHeight="1" x14ac:dyDescent="0.3">
      <c r="A62" s="496"/>
      <c r="B62" s="697"/>
      <c r="C62" s="699"/>
      <c r="D62" s="701"/>
      <c r="E62" s="669"/>
      <c r="F62" s="704"/>
      <c r="G62" s="697"/>
      <c r="H62" s="69" t="s">
        <v>919</v>
      </c>
      <c r="I62" s="32">
        <f t="shared" si="2"/>
        <v>14400</v>
      </c>
      <c r="J62" s="33">
        <f t="shared" si="0"/>
        <v>19</v>
      </c>
      <c r="K62" s="195">
        <f>(14400*19%)+14400</f>
        <v>17136</v>
      </c>
      <c r="L62" s="85">
        <f>IF(I62="","",(K62)*$G$61)</f>
        <v>17136</v>
      </c>
      <c r="M62" s="705"/>
      <c r="N62" s="707"/>
      <c r="O62" s="707"/>
      <c r="P62" s="25">
        <f t="shared" si="1"/>
        <v>17136</v>
      </c>
      <c r="Q62" s="544"/>
      <c r="R62" s="542"/>
      <c r="S62" s="545"/>
      <c r="T62" s="539"/>
      <c r="U62" s="540">
        <f t="shared" si="28"/>
        <v>0</v>
      </c>
      <c r="V62" s="712"/>
      <c r="W62" s="192" t="s">
        <v>986</v>
      </c>
    </row>
    <row r="63" spans="1:23" ht="40.5" customHeight="1" x14ac:dyDescent="0.3">
      <c r="A63" s="496">
        <v>30</v>
      </c>
      <c r="B63" s="697">
        <v>24112902</v>
      </c>
      <c r="C63" s="699" t="s">
        <v>987</v>
      </c>
      <c r="D63" s="701" t="s">
        <v>988</v>
      </c>
      <c r="E63" s="713" t="s">
        <v>79</v>
      </c>
      <c r="F63" s="704" t="s">
        <v>79</v>
      </c>
      <c r="G63" s="697">
        <v>1</v>
      </c>
      <c r="H63" s="69" t="s">
        <v>736</v>
      </c>
      <c r="I63" s="32">
        <f t="shared" si="2"/>
        <v>64900</v>
      </c>
      <c r="J63" s="33">
        <f t="shared" si="0"/>
        <v>19</v>
      </c>
      <c r="K63" s="195">
        <f>(64900*19%)+64900</f>
        <v>77231</v>
      </c>
      <c r="L63" s="85">
        <f>IF(I63="","",(K63)*$G$63)</f>
        <v>77231</v>
      </c>
      <c r="M63" s="705">
        <f t="shared" ref="M63" si="31">IFERROR(AVERAGE(L63:L64),"")</f>
        <v>74309.55</v>
      </c>
      <c r="N63" s="707">
        <f>IFERROR(HARMEAN(L63:L64),"")</f>
        <v>74194.694371046528</v>
      </c>
      <c r="O63" s="707">
        <f>IFERROR(MEDIAN(L63:L64),"")</f>
        <v>74309.55</v>
      </c>
      <c r="P63" s="25">
        <f t="shared" si="1"/>
        <v>77231</v>
      </c>
      <c r="Q63" s="544">
        <f>IFERROR(SUM(P63:P64)/COUNTA(K63:K64),"")</f>
        <v>74309.55</v>
      </c>
      <c r="R63" s="542">
        <f>IFERROR(_xlfn.STDEV.S(L63:L64),"")</f>
        <v>4131.5542117948744</v>
      </c>
      <c r="S63" s="545">
        <f>IFERROR(R63/M63,"")</f>
        <v>5.5599236057745929E-2</v>
      </c>
      <c r="T63" s="692" t="s">
        <v>2076</v>
      </c>
      <c r="U63" s="540">
        <f t="shared" si="28"/>
        <v>74309.55</v>
      </c>
      <c r="V63" s="695" t="s">
        <v>989</v>
      </c>
      <c r="W63" s="192" t="s">
        <v>990</v>
      </c>
    </row>
    <row r="64" spans="1:23" ht="40.5" customHeight="1" x14ac:dyDescent="0.3">
      <c r="A64" s="496"/>
      <c r="B64" s="697"/>
      <c r="C64" s="699"/>
      <c r="D64" s="701"/>
      <c r="E64" s="713"/>
      <c r="F64" s="704"/>
      <c r="G64" s="697"/>
      <c r="H64" s="69" t="s">
        <v>991</v>
      </c>
      <c r="I64" s="32">
        <f t="shared" si="2"/>
        <v>59990.000000000007</v>
      </c>
      <c r="J64" s="33">
        <f t="shared" si="0"/>
        <v>18.999999999999993</v>
      </c>
      <c r="K64" s="195">
        <f>(59990*19%)+59990</f>
        <v>71388.100000000006</v>
      </c>
      <c r="L64" s="85">
        <f>IF(I64="","",(K64)*$G$63)</f>
        <v>71388.100000000006</v>
      </c>
      <c r="M64" s="705"/>
      <c r="N64" s="707"/>
      <c r="O64" s="707"/>
      <c r="P64" s="25">
        <f t="shared" si="1"/>
        <v>71388.100000000006</v>
      </c>
      <c r="Q64" s="544"/>
      <c r="R64" s="542"/>
      <c r="S64" s="545"/>
      <c r="T64" s="711"/>
      <c r="U64" s="540">
        <f t="shared" si="28"/>
        <v>0</v>
      </c>
      <c r="V64" s="712"/>
      <c r="W64" s="192" t="s">
        <v>992</v>
      </c>
    </row>
    <row r="65" spans="1:23" ht="40.5" customHeight="1" x14ac:dyDescent="0.3">
      <c r="A65" s="496">
        <v>31</v>
      </c>
      <c r="B65" s="697">
        <v>44101808</v>
      </c>
      <c r="C65" s="699" t="s">
        <v>993</v>
      </c>
      <c r="D65" s="701" t="s">
        <v>994</v>
      </c>
      <c r="E65" s="713" t="s">
        <v>79</v>
      </c>
      <c r="F65" s="704" t="s">
        <v>79</v>
      </c>
      <c r="G65" s="697">
        <v>1</v>
      </c>
      <c r="H65" s="69" t="s">
        <v>995</v>
      </c>
      <c r="I65" s="32">
        <f t="shared" si="2"/>
        <v>25000</v>
      </c>
      <c r="J65" s="33">
        <f t="shared" si="0"/>
        <v>19</v>
      </c>
      <c r="K65" s="195">
        <f>(25000*19%)+25000</f>
        <v>29750</v>
      </c>
      <c r="L65" s="85">
        <f>IF(I65="","",(K65)*$G$65)</f>
        <v>29750</v>
      </c>
      <c r="M65" s="705">
        <f t="shared" ref="M65" si="32">IFERROR(AVERAGE(L65:L66),"")</f>
        <v>26180</v>
      </c>
      <c r="N65" s="707">
        <f>IFERROR(HARMEAN(L65:L66),"")</f>
        <v>25693.181818181816</v>
      </c>
      <c r="O65" s="707">
        <f>IFERROR(MEDIAN(L65:L66),"")</f>
        <v>26180</v>
      </c>
      <c r="P65" s="25">
        <f t="shared" si="1"/>
        <v>29750</v>
      </c>
      <c r="Q65" s="544">
        <f>IFERROR(SUM(P65:P66)/COUNTA(K65:K66),"")</f>
        <v>26180</v>
      </c>
      <c r="R65" s="542">
        <f>IFERROR(_xlfn.STDEV.S(L65:L66),"")</f>
        <v>5048.7424176719496</v>
      </c>
      <c r="S65" s="545">
        <f>IFERROR(R65/M65,"")</f>
        <v>0.19284730395996752</v>
      </c>
      <c r="T65" s="692" t="s">
        <v>2076</v>
      </c>
      <c r="U65" s="540">
        <f t="shared" si="28"/>
        <v>26180</v>
      </c>
      <c r="V65" s="695" t="s">
        <v>996</v>
      </c>
      <c r="W65" s="192" t="s">
        <v>997</v>
      </c>
    </row>
    <row r="66" spans="1:23" ht="40.5" customHeight="1" x14ac:dyDescent="0.3">
      <c r="A66" s="496"/>
      <c r="B66" s="697"/>
      <c r="C66" s="699"/>
      <c r="D66" s="701"/>
      <c r="E66" s="713"/>
      <c r="F66" s="704"/>
      <c r="G66" s="697"/>
      <c r="H66" s="69" t="s">
        <v>998</v>
      </c>
      <c r="I66" s="32">
        <f t="shared" si="2"/>
        <v>19000</v>
      </c>
      <c r="J66" s="33">
        <f t="shared" si="0"/>
        <v>19</v>
      </c>
      <c r="K66" s="195">
        <f>(19000*19%)+19000</f>
        <v>22610</v>
      </c>
      <c r="L66" s="85">
        <f>IF(I66="","",(K66)*$G$65)</f>
        <v>22610</v>
      </c>
      <c r="M66" s="705"/>
      <c r="N66" s="707"/>
      <c r="O66" s="707"/>
      <c r="P66" s="25">
        <f t="shared" si="1"/>
        <v>22610</v>
      </c>
      <c r="Q66" s="544"/>
      <c r="R66" s="542"/>
      <c r="S66" s="545"/>
      <c r="T66" s="711"/>
      <c r="U66" s="540">
        <f t="shared" si="28"/>
        <v>0</v>
      </c>
      <c r="V66" s="712"/>
      <c r="W66" s="192" t="s">
        <v>999</v>
      </c>
    </row>
    <row r="67" spans="1:23" ht="40.5" customHeight="1" x14ac:dyDescent="0.25">
      <c r="A67" s="496">
        <v>32</v>
      </c>
      <c r="B67" s="697">
        <v>26111704</v>
      </c>
      <c r="C67" s="699" t="s">
        <v>1000</v>
      </c>
      <c r="D67" s="701" t="s">
        <v>1001</v>
      </c>
      <c r="E67" s="713" t="s">
        <v>79</v>
      </c>
      <c r="F67" s="704" t="s">
        <v>79</v>
      </c>
      <c r="G67" s="697">
        <v>1</v>
      </c>
      <c r="H67" s="69" t="s">
        <v>874</v>
      </c>
      <c r="I67" s="32">
        <f t="shared" si="2"/>
        <v>70491.596638655465</v>
      </c>
      <c r="J67" s="33">
        <f t="shared" si="0"/>
        <v>18.999999999999993</v>
      </c>
      <c r="K67" s="195">
        <v>83885</v>
      </c>
      <c r="L67" s="85">
        <f>IF(I67="","",(K67)*$G$67)</f>
        <v>83885</v>
      </c>
      <c r="M67" s="705">
        <f t="shared" ref="M67" si="33">IFERROR(AVERAGE(L67:L68),"")</f>
        <v>81748</v>
      </c>
      <c r="N67" s="707">
        <f>IFERROR(HARMEAN(L67:L68),"")</f>
        <v>81692.136015560012</v>
      </c>
      <c r="O67" s="707">
        <f>IFERROR(MEDIAN(L67:L68),"")</f>
        <v>81748</v>
      </c>
      <c r="P67" s="25">
        <f t="shared" si="1"/>
        <v>83885</v>
      </c>
      <c r="Q67" s="544">
        <f>IFERROR(SUM(P67:P68)/COUNTA(K67:K68),"")</f>
        <v>81748</v>
      </c>
      <c r="R67" s="542">
        <f>IFERROR(_xlfn.STDEV.S(L67:L68),"")</f>
        <v>3022.1743827913042</v>
      </c>
      <c r="S67" s="545">
        <f>IFERROR(R67/M67,"")</f>
        <v>3.6969398429212999E-2</v>
      </c>
      <c r="T67" s="539" t="s">
        <v>2075</v>
      </c>
      <c r="U67" s="540">
        <f t="shared" si="28"/>
        <v>81748</v>
      </c>
      <c r="V67" s="695" t="s">
        <v>1002</v>
      </c>
      <c r="W67" s="189" t="s">
        <v>876</v>
      </c>
    </row>
    <row r="68" spans="1:23" ht="40.5" customHeight="1" x14ac:dyDescent="0.3">
      <c r="A68" s="496"/>
      <c r="B68" s="697"/>
      <c r="C68" s="699"/>
      <c r="D68" s="701"/>
      <c r="E68" s="713"/>
      <c r="F68" s="704"/>
      <c r="G68" s="697"/>
      <c r="H68" s="69" t="s">
        <v>1003</v>
      </c>
      <c r="I68" s="32">
        <f t="shared" si="2"/>
        <v>66900</v>
      </c>
      <c r="J68" s="33">
        <f t="shared" si="0"/>
        <v>19</v>
      </c>
      <c r="K68" s="195">
        <f>(66900*19%)+66900</f>
        <v>79611</v>
      </c>
      <c r="L68" s="85">
        <f>IF(I68="","",(K68)*$G$67)</f>
        <v>79611</v>
      </c>
      <c r="M68" s="705"/>
      <c r="N68" s="707"/>
      <c r="O68" s="707"/>
      <c r="P68" s="25">
        <f t="shared" si="1"/>
        <v>79611</v>
      </c>
      <c r="Q68" s="544"/>
      <c r="R68" s="542"/>
      <c r="S68" s="545"/>
      <c r="T68" s="539"/>
      <c r="U68" s="540">
        <f t="shared" si="28"/>
        <v>0</v>
      </c>
      <c r="V68" s="712"/>
      <c r="W68" s="192" t="s">
        <v>1004</v>
      </c>
    </row>
    <row r="69" spans="1:23" ht="40.5" customHeight="1" x14ac:dyDescent="0.3">
      <c r="A69" s="496">
        <v>33</v>
      </c>
      <c r="B69" s="697">
        <v>44122003</v>
      </c>
      <c r="C69" s="699" t="s">
        <v>1005</v>
      </c>
      <c r="D69" s="701" t="s">
        <v>1006</v>
      </c>
      <c r="E69" s="713" t="s">
        <v>290</v>
      </c>
      <c r="F69" s="704" t="s">
        <v>290</v>
      </c>
      <c r="G69" s="697">
        <v>1</v>
      </c>
      <c r="H69" s="71" t="s">
        <v>820</v>
      </c>
      <c r="I69" s="32">
        <f t="shared" si="2"/>
        <v>10136.064798319328</v>
      </c>
      <c r="J69" s="33">
        <f t="shared" ref="J69:J132" si="34">IF(K69="","",(K69-(K69/1.19))/(K69/1.19)*100)</f>
        <v>18.999999999999993</v>
      </c>
      <c r="K69" s="195">
        <v>12061.91711</v>
      </c>
      <c r="L69" s="85">
        <f>IF(I69="","",(K69)*$G$69)</f>
        <v>12061.91711</v>
      </c>
      <c r="M69" s="705">
        <f t="shared" ref="M69" si="35">IFERROR(AVERAGE(L69:L70),"")</f>
        <v>14143.458555000001</v>
      </c>
      <c r="N69" s="707">
        <f>IFERROR(HARMEAN(L69:L70),"")</f>
        <v>13837.110940630888</v>
      </c>
      <c r="O69" s="707">
        <f>IFERROR(MEDIAN(L69:L70),"")</f>
        <v>14143.458555000001</v>
      </c>
      <c r="P69" s="25">
        <f t="shared" ref="P69:P132" si="36">IF(L69="","",L69)</f>
        <v>12061.91711</v>
      </c>
      <c r="Q69" s="544">
        <f>IFERROR(SUM(P69:P70)/COUNTA(K69:K70),"")</f>
        <v>14143.458555000001</v>
      </c>
      <c r="R69" s="542">
        <f>IFERROR(_xlfn.STDEV.S(L69:L70),"")</f>
        <v>2943.7441421606718</v>
      </c>
      <c r="S69" s="545">
        <f>IFERROR(R69/M69,"")</f>
        <v>0.20813467446546149</v>
      </c>
      <c r="T69" s="539" t="s">
        <v>881</v>
      </c>
      <c r="U69" s="540">
        <f t="shared" si="28"/>
        <v>14143.458555000001</v>
      </c>
      <c r="V69" s="714" t="s">
        <v>882</v>
      </c>
      <c r="W69" s="190"/>
    </row>
    <row r="70" spans="1:23" ht="40.5" customHeight="1" x14ac:dyDescent="0.3">
      <c r="A70" s="496"/>
      <c r="B70" s="697"/>
      <c r="C70" s="699"/>
      <c r="D70" s="701"/>
      <c r="E70" s="713"/>
      <c r="F70" s="704"/>
      <c r="G70" s="697"/>
      <c r="H70" s="71" t="s">
        <v>874</v>
      </c>
      <c r="I70" s="32">
        <f t="shared" ref="I70:I133" si="37">IFERROR(K70/((100+J70)/100),"")</f>
        <v>13634.453781512606</v>
      </c>
      <c r="J70" s="33">
        <f t="shared" si="34"/>
        <v>18.999999999999993</v>
      </c>
      <c r="K70" s="195">
        <v>16225</v>
      </c>
      <c r="L70" s="85">
        <f>IF(I70="","",(K70)*$G$69)</f>
        <v>16225</v>
      </c>
      <c r="M70" s="705"/>
      <c r="N70" s="707"/>
      <c r="O70" s="707"/>
      <c r="P70" s="25">
        <f t="shared" si="36"/>
        <v>16225</v>
      </c>
      <c r="Q70" s="544"/>
      <c r="R70" s="542"/>
      <c r="S70" s="545"/>
      <c r="T70" s="539"/>
      <c r="U70" s="540">
        <f t="shared" si="28"/>
        <v>0</v>
      </c>
      <c r="V70" s="715"/>
      <c r="W70" s="190"/>
    </row>
    <row r="71" spans="1:23" ht="40.5" customHeight="1" x14ac:dyDescent="0.3">
      <c r="A71" s="496">
        <v>34</v>
      </c>
      <c r="B71" s="697">
        <v>44122003</v>
      </c>
      <c r="C71" s="699" t="s">
        <v>1007</v>
      </c>
      <c r="D71" s="701" t="s">
        <v>1008</v>
      </c>
      <c r="E71" s="713" t="s">
        <v>79</v>
      </c>
      <c r="F71" s="704" t="s">
        <v>79</v>
      </c>
      <c r="G71" s="697">
        <v>1</v>
      </c>
      <c r="H71" s="71" t="s">
        <v>874</v>
      </c>
      <c r="I71" s="32">
        <f t="shared" si="37"/>
        <v>2842.8571428571431</v>
      </c>
      <c r="J71" s="33">
        <f t="shared" si="34"/>
        <v>18.999999999999989</v>
      </c>
      <c r="K71" s="195">
        <v>3383</v>
      </c>
      <c r="L71" s="85">
        <f>IF(I71="","",(K71)*$G$71)</f>
        <v>3383</v>
      </c>
      <c r="M71" s="705">
        <f t="shared" ref="M71" si="38">IFERROR(AVERAGE(L71:L72),"")</f>
        <v>3554.2</v>
      </c>
      <c r="N71" s="707">
        <f>IFERROR(HARMEAN(L71:L72),"")</f>
        <v>3545.9535760508693</v>
      </c>
      <c r="O71" s="707">
        <f>IFERROR(MEDIAN(L71:L72),"")</f>
        <v>3554.2</v>
      </c>
      <c r="P71" s="25">
        <f t="shared" si="36"/>
        <v>3383</v>
      </c>
      <c r="Q71" s="544">
        <f>IFERROR(SUM(P71:P72)/COUNTA(K71:K72),"")</f>
        <v>3554.2</v>
      </c>
      <c r="R71" s="542">
        <f>IFERROR(_xlfn.STDEV.S(L71:L72),"")</f>
        <v>242.11336187827393</v>
      </c>
      <c r="S71" s="545">
        <f>IFERROR(R71/M71,"")</f>
        <v>6.8120353913193959E-2</v>
      </c>
      <c r="T71" s="539" t="s">
        <v>881</v>
      </c>
      <c r="U71" s="540">
        <f t="shared" si="28"/>
        <v>3554.2</v>
      </c>
      <c r="V71" s="714" t="s">
        <v>882</v>
      </c>
      <c r="W71" s="190"/>
    </row>
    <row r="72" spans="1:23" ht="40.5" customHeight="1" x14ac:dyDescent="0.3">
      <c r="A72" s="496"/>
      <c r="B72" s="697"/>
      <c r="C72" s="699"/>
      <c r="D72" s="701"/>
      <c r="E72" s="713"/>
      <c r="F72" s="704"/>
      <c r="G72" s="697"/>
      <c r="H72" s="71" t="s">
        <v>820</v>
      </c>
      <c r="I72" s="32">
        <f t="shared" si="37"/>
        <v>3130.588235294118</v>
      </c>
      <c r="J72" s="33">
        <f t="shared" si="34"/>
        <v>18.999999999999989</v>
      </c>
      <c r="K72" s="195">
        <v>3725.4</v>
      </c>
      <c r="L72" s="85">
        <f>IF(I72="","",(K72)*$G$71)</f>
        <v>3725.4</v>
      </c>
      <c r="M72" s="705"/>
      <c r="N72" s="707"/>
      <c r="O72" s="707"/>
      <c r="P72" s="25">
        <f t="shared" si="36"/>
        <v>3725.4</v>
      </c>
      <c r="Q72" s="544"/>
      <c r="R72" s="542"/>
      <c r="S72" s="545"/>
      <c r="T72" s="539"/>
      <c r="U72" s="540">
        <f t="shared" si="28"/>
        <v>0</v>
      </c>
      <c r="V72" s="715"/>
      <c r="W72" s="190"/>
    </row>
    <row r="73" spans="1:23" ht="40.5" customHeight="1" x14ac:dyDescent="0.3">
      <c r="A73" s="496">
        <v>35</v>
      </c>
      <c r="B73" s="697">
        <v>14121503</v>
      </c>
      <c r="C73" s="699" t="s">
        <v>1009</v>
      </c>
      <c r="D73" s="701" t="s">
        <v>1010</v>
      </c>
      <c r="E73" s="713" t="s">
        <v>290</v>
      </c>
      <c r="F73" s="704" t="s">
        <v>1011</v>
      </c>
      <c r="G73" s="697">
        <v>1</v>
      </c>
      <c r="H73" s="69" t="s">
        <v>820</v>
      </c>
      <c r="I73" s="32">
        <f t="shared" si="37"/>
        <v>32980.336134453784</v>
      </c>
      <c r="J73" s="33">
        <f t="shared" si="34"/>
        <v>18.999999999999986</v>
      </c>
      <c r="K73" s="195">
        <v>39246.6</v>
      </c>
      <c r="L73" s="85">
        <f>IF(I73="","",(K73)*$G$73)</f>
        <v>39246.6</v>
      </c>
      <c r="M73" s="705">
        <f t="shared" ref="M73" si="39">IFERROR(AVERAGE(L73:L74),"")</f>
        <v>39258.300000000003</v>
      </c>
      <c r="N73" s="707">
        <f>IFERROR(HARMEAN(L73:L74),"")</f>
        <v>39258.296513094043</v>
      </c>
      <c r="O73" s="707">
        <f>IFERROR(MEDIAN(L73:L74),"")</f>
        <v>39258.300000000003</v>
      </c>
      <c r="P73" s="25">
        <f t="shared" si="36"/>
        <v>39246.6</v>
      </c>
      <c r="Q73" s="544">
        <f>IFERROR(SUM(P73:P74)/COUNTA(K73:K74),"")</f>
        <v>39258.300000000003</v>
      </c>
      <c r="R73" s="542">
        <f>IFERROR(_xlfn.STDEV.S(L73:L74),"")</f>
        <v>16.546298679766242</v>
      </c>
      <c r="S73" s="545">
        <f>IFERROR(R73/M73,"")</f>
        <v>4.2147262310813865E-4</v>
      </c>
      <c r="T73" s="539" t="s">
        <v>2075</v>
      </c>
      <c r="U73" s="540">
        <f t="shared" si="28"/>
        <v>39258.300000000003</v>
      </c>
      <c r="V73" s="695" t="s">
        <v>1012</v>
      </c>
      <c r="W73" s="190"/>
    </row>
    <row r="74" spans="1:23" ht="40.5" customHeight="1" x14ac:dyDescent="0.3">
      <c r="A74" s="496"/>
      <c r="B74" s="697"/>
      <c r="C74" s="699"/>
      <c r="D74" s="701"/>
      <c r="E74" s="713"/>
      <c r="F74" s="704"/>
      <c r="G74" s="697"/>
      <c r="H74" s="69" t="s">
        <v>823</v>
      </c>
      <c r="I74" s="32">
        <f t="shared" si="37"/>
        <v>33000</v>
      </c>
      <c r="J74" s="33">
        <f t="shared" si="34"/>
        <v>19</v>
      </c>
      <c r="K74" s="195">
        <f>(33000*19%)+33000</f>
        <v>39270</v>
      </c>
      <c r="L74" s="85">
        <f>IF(I74="","",(K74)*$G$73)</f>
        <v>39270</v>
      </c>
      <c r="M74" s="705"/>
      <c r="N74" s="707"/>
      <c r="O74" s="707"/>
      <c r="P74" s="25">
        <f t="shared" si="36"/>
        <v>39270</v>
      </c>
      <c r="Q74" s="544"/>
      <c r="R74" s="542"/>
      <c r="S74" s="545"/>
      <c r="T74" s="539"/>
      <c r="U74" s="540">
        <f t="shared" si="28"/>
        <v>0</v>
      </c>
      <c r="V74" s="712"/>
      <c r="W74" s="192" t="s">
        <v>1013</v>
      </c>
    </row>
    <row r="75" spans="1:23" ht="40.5" customHeight="1" x14ac:dyDescent="0.25">
      <c r="A75" s="496">
        <v>36</v>
      </c>
      <c r="B75" s="697">
        <v>14121503</v>
      </c>
      <c r="C75" s="699" t="s">
        <v>1014</v>
      </c>
      <c r="D75" s="701" t="s">
        <v>1015</v>
      </c>
      <c r="E75" s="713" t="s">
        <v>72</v>
      </c>
      <c r="F75" s="704" t="s">
        <v>1016</v>
      </c>
      <c r="G75" s="697">
        <v>1</v>
      </c>
      <c r="H75" s="69" t="s">
        <v>820</v>
      </c>
      <c r="I75" s="32">
        <f t="shared" si="37"/>
        <v>55283.361344537814</v>
      </c>
      <c r="J75" s="33">
        <f t="shared" si="34"/>
        <v>18.999999999999996</v>
      </c>
      <c r="K75" s="195">
        <v>65787.199999999997</v>
      </c>
      <c r="L75" s="85">
        <f>IF(I75="","",(K75)*$G$75)</f>
        <v>65787.199999999997</v>
      </c>
      <c r="M75" s="705">
        <f t="shared" ref="M75" si="40">IFERROR(AVERAGE(L75:L76),"")</f>
        <v>110779.1</v>
      </c>
      <c r="N75" s="707">
        <f>IFERROR(HARMEAN(L75:L76),"")</f>
        <v>92506.058734905761</v>
      </c>
      <c r="O75" s="707">
        <f>IFERROR(MEDIAN(L75:L76),"")</f>
        <v>110779.1</v>
      </c>
      <c r="P75" s="25">
        <f t="shared" si="36"/>
        <v>65787.199999999997</v>
      </c>
      <c r="Q75" s="544">
        <f>IFERROR(SUM(P75:P76)/COUNTA(K75:K76),"")</f>
        <v>110779.1</v>
      </c>
      <c r="R75" s="542">
        <f>IFERROR(_xlfn.STDEV.S(L75:L76),"")</f>
        <v>63628.155176934037</v>
      </c>
      <c r="S75" s="545">
        <f>IFERROR(R75/M75,"")</f>
        <v>0.57436967060514155</v>
      </c>
      <c r="T75" s="539" t="s">
        <v>2075</v>
      </c>
      <c r="U75" s="540">
        <f t="shared" si="28"/>
        <v>110779.1</v>
      </c>
      <c r="V75" s="695" t="s">
        <v>1017</v>
      </c>
      <c r="W75" s="189" t="s">
        <v>822</v>
      </c>
    </row>
    <row r="76" spans="1:23" ht="40.5" customHeight="1" x14ac:dyDescent="0.3">
      <c r="A76" s="496"/>
      <c r="B76" s="697"/>
      <c r="C76" s="699"/>
      <c r="D76" s="701"/>
      <c r="E76" s="713"/>
      <c r="F76" s="704"/>
      <c r="G76" s="697"/>
      <c r="H76" s="69" t="s">
        <v>736</v>
      </c>
      <c r="I76" s="32">
        <f t="shared" si="37"/>
        <v>130900</v>
      </c>
      <c r="J76" s="33">
        <f t="shared" si="34"/>
        <v>19</v>
      </c>
      <c r="K76" s="195">
        <f>(130900*19%)+130900</f>
        <v>155771</v>
      </c>
      <c r="L76" s="85">
        <f>IF(I76="","",(K76)*$G$75)</f>
        <v>155771</v>
      </c>
      <c r="M76" s="705"/>
      <c r="N76" s="707"/>
      <c r="O76" s="707"/>
      <c r="P76" s="25">
        <f t="shared" si="36"/>
        <v>155771</v>
      </c>
      <c r="Q76" s="544"/>
      <c r="R76" s="542"/>
      <c r="S76" s="545"/>
      <c r="T76" s="539"/>
      <c r="U76" s="540">
        <f t="shared" si="28"/>
        <v>0</v>
      </c>
      <c r="V76" s="712"/>
      <c r="W76" s="192" t="s">
        <v>1018</v>
      </c>
    </row>
    <row r="77" spans="1:23" ht="40.5" customHeight="1" x14ac:dyDescent="0.3">
      <c r="A77" s="496">
        <v>37</v>
      </c>
      <c r="B77" s="697">
        <v>49181500</v>
      </c>
      <c r="C77" s="699" t="s">
        <v>1019</v>
      </c>
      <c r="D77" s="701" t="s">
        <v>1020</v>
      </c>
      <c r="E77" s="713" t="s">
        <v>290</v>
      </c>
      <c r="F77" s="704" t="s">
        <v>1021</v>
      </c>
      <c r="G77" s="697">
        <v>1</v>
      </c>
      <c r="H77" s="71" t="s">
        <v>874</v>
      </c>
      <c r="I77" s="32">
        <f t="shared" si="37"/>
        <v>4368.90756302521</v>
      </c>
      <c r="J77" s="33">
        <f t="shared" si="34"/>
        <v>19</v>
      </c>
      <c r="K77" s="195">
        <v>5199</v>
      </c>
      <c r="L77" s="85">
        <f>IF(I77="","",(K77)*$G$77)</f>
        <v>5199</v>
      </c>
      <c r="M77" s="705">
        <f t="shared" ref="M77" si="41">IFERROR(AVERAGE(L77:L78),"")</f>
        <v>4480.7</v>
      </c>
      <c r="N77" s="707">
        <f>IFERROR(HARMEAN(L77:L78),"")</f>
        <v>4365.5494900350386</v>
      </c>
      <c r="O77" s="707">
        <f>IFERROR(MEDIAN(L77:L78),"")</f>
        <v>4480.7</v>
      </c>
      <c r="P77" s="25">
        <f t="shared" si="36"/>
        <v>5199</v>
      </c>
      <c r="Q77" s="544">
        <f>IFERROR(SUM(P77:P78)/COUNTA(K77:K78),"")</f>
        <v>4480.7</v>
      </c>
      <c r="R77" s="542">
        <f>IFERROR(_xlfn.STDEV.S(L77:L78),"")</f>
        <v>1015.8296018525948</v>
      </c>
      <c r="S77" s="545">
        <f>IFERROR(R77/M77,"")</f>
        <v>0.22671225519507998</v>
      </c>
      <c r="T77" s="539" t="s">
        <v>881</v>
      </c>
      <c r="U77" s="540">
        <f t="shared" si="28"/>
        <v>4480.7</v>
      </c>
      <c r="V77" s="714" t="s">
        <v>882</v>
      </c>
      <c r="W77" s="190"/>
    </row>
    <row r="78" spans="1:23" ht="40.5" customHeight="1" x14ac:dyDescent="0.3">
      <c r="A78" s="496"/>
      <c r="B78" s="697"/>
      <c r="C78" s="699"/>
      <c r="D78" s="701"/>
      <c r="E78" s="713"/>
      <c r="F78" s="704"/>
      <c r="G78" s="697"/>
      <c r="H78" s="71" t="s">
        <v>820</v>
      </c>
      <c r="I78" s="32">
        <f t="shared" si="37"/>
        <v>3161.680672268908</v>
      </c>
      <c r="J78" s="33">
        <f t="shared" si="34"/>
        <v>18.999999999999986</v>
      </c>
      <c r="K78" s="195">
        <v>3762.4</v>
      </c>
      <c r="L78" s="85">
        <f>IF(I78="","",(K78)*$G$77)</f>
        <v>3762.4</v>
      </c>
      <c r="M78" s="705"/>
      <c r="N78" s="707"/>
      <c r="O78" s="707"/>
      <c r="P78" s="25">
        <f t="shared" si="36"/>
        <v>3762.4</v>
      </c>
      <c r="Q78" s="544"/>
      <c r="R78" s="542"/>
      <c r="S78" s="545"/>
      <c r="T78" s="539"/>
      <c r="U78" s="540">
        <f t="shared" si="28"/>
        <v>0</v>
      </c>
      <c r="V78" s="715"/>
      <c r="W78" s="190"/>
    </row>
    <row r="79" spans="1:23" ht="40.5" customHeight="1" x14ac:dyDescent="0.25">
      <c r="A79" s="496">
        <v>38</v>
      </c>
      <c r="B79" s="697">
        <v>14121503</v>
      </c>
      <c r="C79" s="699" t="s">
        <v>1022</v>
      </c>
      <c r="D79" s="701" t="s">
        <v>1023</v>
      </c>
      <c r="E79" s="713" t="s">
        <v>290</v>
      </c>
      <c r="F79" s="704" t="s">
        <v>1021</v>
      </c>
      <c r="G79" s="697">
        <v>1</v>
      </c>
      <c r="H79" s="69" t="s">
        <v>820</v>
      </c>
      <c r="I79" s="32">
        <f t="shared" si="37"/>
        <v>8927.1428571428569</v>
      </c>
      <c r="J79" s="33">
        <f t="shared" si="34"/>
        <v>18.999999999999993</v>
      </c>
      <c r="K79" s="195">
        <v>10623.3</v>
      </c>
      <c r="L79" s="85">
        <f>IF(I79="","",(K79)*G79)</f>
        <v>10623.3</v>
      </c>
      <c r="M79" s="705">
        <f t="shared" ref="M79" si="42">IFERROR(AVERAGE(L79:L80),"")</f>
        <v>7989.15</v>
      </c>
      <c r="N79" s="707">
        <f>IFERROR(HARMEAN(L79:L80),"")</f>
        <v>7120.6287902968406</v>
      </c>
      <c r="O79" s="707">
        <f>IFERROR(MEDIAN(L79:L80),"")</f>
        <v>7989.15</v>
      </c>
      <c r="P79" s="25">
        <f t="shared" si="36"/>
        <v>10623.3</v>
      </c>
      <c r="Q79" s="544">
        <f>IFERROR(SUM(P79:P80)/COUNTA(K79:K80),"")</f>
        <v>7989.15</v>
      </c>
      <c r="R79" s="542">
        <f>IFERROR(_xlfn.STDEV.S(L79:L80),"")</f>
        <v>3725.2506553250873</v>
      </c>
      <c r="S79" s="545">
        <f>IFERROR(R79/M79,"")</f>
        <v>0.46628873601385473</v>
      </c>
      <c r="T79" s="539" t="s">
        <v>2075</v>
      </c>
      <c r="U79" s="540">
        <f t="shared" si="28"/>
        <v>7989.15</v>
      </c>
      <c r="V79" s="695" t="s">
        <v>1024</v>
      </c>
      <c r="W79" s="189" t="s">
        <v>822</v>
      </c>
    </row>
    <row r="80" spans="1:23" ht="40.5" customHeight="1" x14ac:dyDescent="0.3">
      <c r="A80" s="496"/>
      <c r="B80" s="697"/>
      <c r="C80" s="699"/>
      <c r="D80" s="701"/>
      <c r="E80" s="713"/>
      <c r="F80" s="704"/>
      <c r="G80" s="697"/>
      <c r="H80" s="69" t="s">
        <v>1025</v>
      </c>
      <c r="I80" s="32">
        <f t="shared" si="37"/>
        <v>4500</v>
      </c>
      <c r="J80" s="33">
        <f t="shared" si="34"/>
        <v>19</v>
      </c>
      <c r="K80" s="195">
        <f>(4500*19%)+4500</f>
        <v>5355</v>
      </c>
      <c r="L80" s="85">
        <f>IF(I80="","",(K80)*$G$79)</f>
        <v>5355</v>
      </c>
      <c r="M80" s="705"/>
      <c r="N80" s="707"/>
      <c r="O80" s="707"/>
      <c r="P80" s="25">
        <f t="shared" si="36"/>
        <v>5355</v>
      </c>
      <c r="Q80" s="544"/>
      <c r="R80" s="542"/>
      <c r="S80" s="545"/>
      <c r="T80" s="539"/>
      <c r="U80" s="540">
        <f t="shared" si="28"/>
        <v>0</v>
      </c>
      <c r="V80" s="712"/>
      <c r="W80" s="192" t="s">
        <v>1026</v>
      </c>
    </row>
    <row r="81" spans="1:23" ht="40.5" customHeight="1" x14ac:dyDescent="0.3">
      <c r="A81" s="496">
        <v>39</v>
      </c>
      <c r="B81" s="697">
        <v>14121503</v>
      </c>
      <c r="C81" s="699" t="s">
        <v>1027</v>
      </c>
      <c r="D81" s="701" t="s">
        <v>1028</v>
      </c>
      <c r="E81" s="713" t="s">
        <v>290</v>
      </c>
      <c r="F81" s="704" t="s">
        <v>1028</v>
      </c>
      <c r="G81" s="697">
        <v>1</v>
      </c>
      <c r="H81" s="69" t="s">
        <v>1029</v>
      </c>
      <c r="I81" s="32">
        <f t="shared" si="37"/>
        <v>7000</v>
      </c>
      <c r="J81" s="33">
        <f t="shared" si="34"/>
        <v>19</v>
      </c>
      <c r="K81" s="195">
        <f>(7000*19%)+7000</f>
        <v>8330</v>
      </c>
      <c r="L81" s="85">
        <f>IF(I81="","",(K81)*$G$81)</f>
        <v>8330</v>
      </c>
      <c r="M81" s="705">
        <f t="shared" ref="M81" si="43">IFERROR(AVERAGE(L81:L82),"")</f>
        <v>8032.5</v>
      </c>
      <c r="N81" s="707">
        <f>IFERROR(HARMEAN(L81:L82),"")</f>
        <v>8021.4814814814808</v>
      </c>
      <c r="O81" s="707">
        <f>IFERROR(MEDIAN(L81:L82),"")</f>
        <v>8032.5</v>
      </c>
      <c r="P81" s="25">
        <f t="shared" si="36"/>
        <v>8330</v>
      </c>
      <c r="Q81" s="544">
        <f>IFERROR(SUM(P81:P82)/COUNTA(K81:K82),"")</f>
        <v>8032.5</v>
      </c>
      <c r="R81" s="542">
        <f>IFERROR(_xlfn.STDEV.S(L81:L82),"")</f>
        <v>420.72853480599576</v>
      </c>
      <c r="S81" s="545">
        <f>IFERROR(R81/M81,"")</f>
        <v>5.2378280087892408E-2</v>
      </c>
      <c r="T81" s="692" t="s">
        <v>2076</v>
      </c>
      <c r="U81" s="540">
        <f t="shared" si="28"/>
        <v>8032.5</v>
      </c>
      <c r="V81" s="695" t="s">
        <v>1030</v>
      </c>
      <c r="W81" s="192" t="s">
        <v>1031</v>
      </c>
    </row>
    <row r="82" spans="1:23" ht="40.5" customHeight="1" x14ac:dyDescent="0.3">
      <c r="A82" s="496"/>
      <c r="B82" s="697"/>
      <c r="C82" s="699"/>
      <c r="D82" s="701"/>
      <c r="E82" s="713"/>
      <c r="F82" s="704"/>
      <c r="G82" s="697"/>
      <c r="H82" s="71" t="s">
        <v>1032</v>
      </c>
      <c r="I82" s="32">
        <f t="shared" si="37"/>
        <v>6500</v>
      </c>
      <c r="J82" s="33">
        <f t="shared" si="34"/>
        <v>19</v>
      </c>
      <c r="K82" s="195">
        <f>(6500*19%)+6500</f>
        <v>7735</v>
      </c>
      <c r="L82" s="85">
        <f>IF(I82="","",(K82)*$G$81)</f>
        <v>7735</v>
      </c>
      <c r="M82" s="705"/>
      <c r="N82" s="707"/>
      <c r="O82" s="707"/>
      <c r="P82" s="25">
        <f t="shared" si="36"/>
        <v>7735</v>
      </c>
      <c r="Q82" s="544"/>
      <c r="R82" s="542"/>
      <c r="S82" s="545"/>
      <c r="T82" s="711"/>
      <c r="U82" s="540">
        <f t="shared" si="28"/>
        <v>0</v>
      </c>
      <c r="V82" s="712"/>
      <c r="W82" s="192" t="s">
        <v>1033</v>
      </c>
    </row>
    <row r="83" spans="1:23" ht="40.5" customHeight="1" x14ac:dyDescent="0.3">
      <c r="A83" s="496">
        <v>40</v>
      </c>
      <c r="B83" s="697">
        <v>53121601</v>
      </c>
      <c r="C83" s="699" t="s">
        <v>1034</v>
      </c>
      <c r="D83" s="701" t="s">
        <v>1035</v>
      </c>
      <c r="E83" s="713" t="s">
        <v>79</v>
      </c>
      <c r="F83" s="704" t="s">
        <v>901</v>
      </c>
      <c r="G83" s="697">
        <v>1</v>
      </c>
      <c r="H83" s="69" t="s">
        <v>823</v>
      </c>
      <c r="I83" s="32">
        <f t="shared" si="37"/>
        <v>7000</v>
      </c>
      <c r="J83" s="33">
        <f t="shared" si="34"/>
        <v>19</v>
      </c>
      <c r="K83" s="195">
        <f>(7000*19%)+7000</f>
        <v>8330</v>
      </c>
      <c r="L83" s="85">
        <f>IF(I83="","",(K83)*$G$83)</f>
        <v>8330</v>
      </c>
      <c r="M83" s="705">
        <f t="shared" ref="M83" si="44">IFERROR(AVERAGE(L83:L84),"")</f>
        <v>7735</v>
      </c>
      <c r="N83" s="707">
        <f>IFERROR(HARMEAN(L83:L84),"")</f>
        <v>7689.2307692307695</v>
      </c>
      <c r="O83" s="707">
        <f>IFERROR(MEDIAN(L83:L84),"")</f>
        <v>7735</v>
      </c>
      <c r="P83" s="25">
        <f t="shared" si="36"/>
        <v>8330</v>
      </c>
      <c r="Q83" s="544">
        <f>IFERROR(SUM(P83:P84)/COUNTA(K83:K84),"")</f>
        <v>7735</v>
      </c>
      <c r="R83" s="542">
        <f>IFERROR(_xlfn.STDEV.S(L83:L84),"")</f>
        <v>841.45706961199153</v>
      </c>
      <c r="S83" s="545">
        <f>IFERROR(R83/M83,"")</f>
        <v>0.10878565864408424</v>
      </c>
      <c r="T83" s="692" t="s">
        <v>2076</v>
      </c>
      <c r="U83" s="540">
        <f t="shared" si="28"/>
        <v>7735</v>
      </c>
      <c r="V83" s="695" t="s">
        <v>1036</v>
      </c>
      <c r="W83" s="192" t="s">
        <v>1037</v>
      </c>
    </row>
    <row r="84" spans="1:23" ht="40.5" customHeight="1" x14ac:dyDescent="0.3">
      <c r="A84" s="496"/>
      <c r="B84" s="697"/>
      <c r="C84" s="699"/>
      <c r="D84" s="701"/>
      <c r="E84" s="713"/>
      <c r="F84" s="704"/>
      <c r="G84" s="697"/>
      <c r="H84" s="69" t="s">
        <v>1038</v>
      </c>
      <c r="I84" s="32">
        <f t="shared" si="37"/>
        <v>6000</v>
      </c>
      <c r="J84" s="33">
        <f t="shared" si="34"/>
        <v>19</v>
      </c>
      <c r="K84" s="195">
        <f>(6000*19%)+6000</f>
        <v>7140</v>
      </c>
      <c r="L84" s="85">
        <f>IF(I84="","",(K84)*$G$83)</f>
        <v>7140</v>
      </c>
      <c r="M84" s="705"/>
      <c r="N84" s="707"/>
      <c r="O84" s="707"/>
      <c r="P84" s="25">
        <f t="shared" si="36"/>
        <v>7140</v>
      </c>
      <c r="Q84" s="544"/>
      <c r="R84" s="542"/>
      <c r="S84" s="545"/>
      <c r="T84" s="711"/>
      <c r="U84" s="540">
        <f t="shared" si="28"/>
        <v>0</v>
      </c>
      <c r="V84" s="712"/>
      <c r="W84" s="192" t="s">
        <v>1039</v>
      </c>
    </row>
    <row r="85" spans="1:23" ht="40.5" customHeight="1" x14ac:dyDescent="0.3">
      <c r="A85" s="496">
        <v>41</v>
      </c>
      <c r="B85" s="697">
        <v>14111519</v>
      </c>
      <c r="C85" s="699" t="s">
        <v>1040</v>
      </c>
      <c r="D85" s="701" t="s">
        <v>1041</v>
      </c>
      <c r="E85" s="713" t="s">
        <v>290</v>
      </c>
      <c r="F85" s="704" t="s">
        <v>1021</v>
      </c>
      <c r="G85" s="697">
        <v>1</v>
      </c>
      <c r="H85" s="71" t="s">
        <v>874</v>
      </c>
      <c r="I85" s="32">
        <f t="shared" si="37"/>
        <v>2711.7647058823532</v>
      </c>
      <c r="J85" s="33">
        <f t="shared" si="34"/>
        <v>18.999999999999993</v>
      </c>
      <c r="K85" s="195">
        <v>3227</v>
      </c>
      <c r="L85" s="85">
        <f>IF(I85="","",(K85)*$G$85)</f>
        <v>3227</v>
      </c>
      <c r="M85" s="705">
        <f t="shared" ref="M85" si="45">IFERROR(AVERAGE(L85:L86),"")</f>
        <v>3245.75</v>
      </c>
      <c r="N85" s="707">
        <f>IFERROR(HARMEAN(L85:L86),"")</f>
        <v>3245.641685280752</v>
      </c>
      <c r="O85" s="707">
        <f>IFERROR(MEDIAN(L85:L86),"")</f>
        <v>3245.75</v>
      </c>
      <c r="P85" s="25">
        <f t="shared" si="36"/>
        <v>3227</v>
      </c>
      <c r="Q85" s="544">
        <f>IFERROR(SUM(P85:P86)/COUNTA(K85:K86),"")</f>
        <v>3245.75</v>
      </c>
      <c r="R85" s="542">
        <f>IFERROR(_xlfn.STDEV.S(L85:L86),"")</f>
        <v>26.516504294495533</v>
      </c>
      <c r="S85" s="545">
        <f>IFERROR(R85/M85,"")</f>
        <v>8.1696077314936562E-3</v>
      </c>
      <c r="T85" s="539" t="s">
        <v>881</v>
      </c>
      <c r="U85" s="540">
        <f t="shared" si="28"/>
        <v>3245.75</v>
      </c>
      <c r="V85" s="714" t="s">
        <v>882</v>
      </c>
      <c r="W85" s="190"/>
    </row>
    <row r="86" spans="1:23" ht="40.5" customHeight="1" x14ac:dyDescent="0.3">
      <c r="A86" s="496"/>
      <c r="B86" s="697"/>
      <c r="C86" s="699"/>
      <c r="D86" s="701"/>
      <c r="E86" s="713"/>
      <c r="F86" s="704"/>
      <c r="G86" s="697"/>
      <c r="H86" s="71" t="s">
        <v>820</v>
      </c>
      <c r="I86" s="32">
        <f t="shared" si="37"/>
        <v>2743.2773109243699</v>
      </c>
      <c r="J86" s="33">
        <f t="shared" si="34"/>
        <v>18.999999999999993</v>
      </c>
      <c r="K86" s="195">
        <v>3264.5</v>
      </c>
      <c r="L86" s="85">
        <f>IF(I86="","",(K86)*$G$85)</f>
        <v>3264.5</v>
      </c>
      <c r="M86" s="705"/>
      <c r="N86" s="707"/>
      <c r="O86" s="707"/>
      <c r="P86" s="25">
        <f t="shared" si="36"/>
        <v>3264.5</v>
      </c>
      <c r="Q86" s="544"/>
      <c r="R86" s="542"/>
      <c r="S86" s="545"/>
      <c r="T86" s="539"/>
      <c r="U86" s="540">
        <f t="shared" si="28"/>
        <v>0</v>
      </c>
      <c r="V86" s="715"/>
      <c r="W86" s="190"/>
    </row>
    <row r="87" spans="1:23" ht="40.5" customHeight="1" x14ac:dyDescent="0.3">
      <c r="A87" s="496">
        <v>42</v>
      </c>
      <c r="B87" s="697">
        <v>14111607</v>
      </c>
      <c r="C87" s="899" t="s">
        <v>1042</v>
      </c>
      <c r="D87" s="701" t="s">
        <v>1043</v>
      </c>
      <c r="E87" s="713" t="s">
        <v>290</v>
      </c>
      <c r="F87" s="704" t="s">
        <v>1044</v>
      </c>
      <c r="G87" s="697">
        <v>1</v>
      </c>
      <c r="H87" s="69" t="s">
        <v>1045</v>
      </c>
      <c r="I87" s="32">
        <f t="shared" si="37"/>
        <v>6000</v>
      </c>
      <c r="J87" s="33">
        <f t="shared" si="34"/>
        <v>19</v>
      </c>
      <c r="K87" s="195">
        <f>(6000*19%)+6000</f>
        <v>7140</v>
      </c>
      <c r="L87" s="85">
        <f>IF(I87="","",(K87)*G87)</f>
        <v>7140</v>
      </c>
      <c r="M87" s="705">
        <f t="shared" ref="M87" si="46">IFERROR(AVERAGE(L87:L88),"")</f>
        <v>7140</v>
      </c>
      <c r="N87" s="707">
        <f>IFERROR(HARMEAN(L87:L88),"")</f>
        <v>7140.0000000000009</v>
      </c>
      <c r="O87" s="707">
        <f>IFERROR(MEDIAN(L87:L88),"")</f>
        <v>7140</v>
      </c>
      <c r="P87" s="25">
        <f t="shared" si="36"/>
        <v>7140</v>
      </c>
      <c r="Q87" s="544">
        <f>IFERROR(SUM(P87:P88)/COUNTA(K87:K88),"")</f>
        <v>7140</v>
      </c>
      <c r="R87" s="542">
        <f>IFERROR(_xlfn.STDEV.S(L87:L88),"")</f>
        <v>0</v>
      </c>
      <c r="S87" s="545">
        <f>IFERROR(R87/M87,"")</f>
        <v>0</v>
      </c>
      <c r="T87" s="692" t="s">
        <v>2076</v>
      </c>
      <c r="U87" s="540">
        <f t="shared" si="28"/>
        <v>7140</v>
      </c>
      <c r="V87" s="695" t="s">
        <v>1046</v>
      </c>
      <c r="W87" s="192" t="s">
        <v>1047</v>
      </c>
    </row>
    <row r="88" spans="1:23" ht="40.5" customHeight="1" x14ac:dyDescent="0.3">
      <c r="A88" s="496"/>
      <c r="B88" s="697"/>
      <c r="C88" s="899"/>
      <c r="D88" s="701"/>
      <c r="E88" s="713"/>
      <c r="F88" s="704"/>
      <c r="G88" s="697"/>
      <c r="H88" s="69" t="s">
        <v>1048</v>
      </c>
      <c r="I88" s="32">
        <f t="shared" si="37"/>
        <v>6000</v>
      </c>
      <c r="J88" s="33">
        <f t="shared" si="34"/>
        <v>19</v>
      </c>
      <c r="K88" s="195">
        <f>(6000*19%)+6000</f>
        <v>7140</v>
      </c>
      <c r="L88" s="85">
        <f>IF(I88="","",(K88)*$G$87)</f>
        <v>7140</v>
      </c>
      <c r="M88" s="705"/>
      <c r="N88" s="707"/>
      <c r="O88" s="707"/>
      <c r="P88" s="25">
        <f t="shared" si="36"/>
        <v>7140</v>
      </c>
      <c r="Q88" s="544"/>
      <c r="R88" s="542"/>
      <c r="S88" s="545"/>
      <c r="T88" s="711"/>
      <c r="U88" s="540">
        <f t="shared" si="28"/>
        <v>0</v>
      </c>
      <c r="V88" s="712"/>
      <c r="W88" s="192" t="s">
        <v>1049</v>
      </c>
    </row>
    <row r="89" spans="1:23" ht="40.5" customHeight="1" x14ac:dyDescent="0.3">
      <c r="A89" s="496">
        <v>43</v>
      </c>
      <c r="B89" s="697">
        <v>14111519</v>
      </c>
      <c r="C89" s="699" t="s">
        <v>1050</v>
      </c>
      <c r="D89" s="701" t="s">
        <v>1051</v>
      </c>
      <c r="E89" s="713" t="s">
        <v>79</v>
      </c>
      <c r="F89" s="704" t="s">
        <v>1021</v>
      </c>
      <c r="G89" s="697">
        <v>1</v>
      </c>
      <c r="H89" s="69" t="s">
        <v>1052</v>
      </c>
      <c r="I89" s="32">
        <f t="shared" si="37"/>
        <v>1300</v>
      </c>
      <c r="J89" s="33">
        <f t="shared" si="34"/>
        <v>19</v>
      </c>
      <c r="K89" s="195">
        <f>(1300*19%)+1300</f>
        <v>1547</v>
      </c>
      <c r="L89" s="85">
        <f>IF(I89="","",(K89)*$G$89)</f>
        <v>1547</v>
      </c>
      <c r="M89" s="705">
        <f t="shared" ref="M89" si="47">IFERROR(AVERAGE(L89:L90),"")</f>
        <v>1309</v>
      </c>
      <c r="N89" s="707">
        <f>IFERROR(HARMEAN(L89:L90),"")</f>
        <v>1265.7272727272727</v>
      </c>
      <c r="O89" s="707">
        <f>IFERROR(MEDIAN(L89:L90),"")</f>
        <v>1309</v>
      </c>
      <c r="P89" s="25">
        <f t="shared" si="36"/>
        <v>1547</v>
      </c>
      <c r="Q89" s="544">
        <f>IFERROR(SUM(P89:P90)/COUNTA(K89:K90),"")</f>
        <v>1309</v>
      </c>
      <c r="R89" s="542">
        <f>IFERROR(_xlfn.STDEV.S(L89:L90),"")</f>
        <v>336.58282784479661</v>
      </c>
      <c r="S89" s="545">
        <f>IFERROR(R89/M89,"")</f>
        <v>0.25712973861329003</v>
      </c>
      <c r="T89" s="692" t="s">
        <v>2076</v>
      </c>
      <c r="U89" s="540">
        <f t="shared" si="28"/>
        <v>1309</v>
      </c>
      <c r="V89" s="695" t="s">
        <v>1053</v>
      </c>
      <c r="W89" s="192" t="s">
        <v>1054</v>
      </c>
    </row>
    <row r="90" spans="1:23" ht="40.5" customHeight="1" x14ac:dyDescent="0.3">
      <c r="A90" s="496"/>
      <c r="B90" s="697"/>
      <c r="C90" s="699"/>
      <c r="D90" s="701"/>
      <c r="E90" s="713"/>
      <c r="F90" s="704"/>
      <c r="G90" s="697"/>
      <c r="H90" s="69" t="s">
        <v>1029</v>
      </c>
      <c r="I90" s="32">
        <f t="shared" si="37"/>
        <v>900</v>
      </c>
      <c r="J90" s="33">
        <f t="shared" si="34"/>
        <v>19</v>
      </c>
      <c r="K90" s="195">
        <f>(900*19%)+900</f>
        <v>1071</v>
      </c>
      <c r="L90" s="85">
        <f>IF(I90="","",(K90)*$G$89)</f>
        <v>1071</v>
      </c>
      <c r="M90" s="705"/>
      <c r="N90" s="707"/>
      <c r="O90" s="707"/>
      <c r="P90" s="25">
        <f t="shared" si="36"/>
        <v>1071</v>
      </c>
      <c r="Q90" s="544"/>
      <c r="R90" s="542"/>
      <c r="S90" s="545"/>
      <c r="T90" s="711"/>
      <c r="U90" s="540">
        <f t="shared" si="28"/>
        <v>0</v>
      </c>
      <c r="V90" s="712"/>
      <c r="W90" s="192" t="s">
        <v>1055</v>
      </c>
    </row>
    <row r="91" spans="1:23" ht="40.5" customHeight="1" x14ac:dyDescent="0.3">
      <c r="A91" s="496">
        <v>44</v>
      </c>
      <c r="B91" s="697">
        <v>14111607</v>
      </c>
      <c r="C91" s="699" t="s">
        <v>1056</v>
      </c>
      <c r="D91" s="701" t="s">
        <v>1057</v>
      </c>
      <c r="E91" s="713" t="s">
        <v>79</v>
      </c>
      <c r="F91" s="704" t="s">
        <v>1058</v>
      </c>
      <c r="G91" s="697">
        <v>1</v>
      </c>
      <c r="H91" s="69" t="s">
        <v>1059</v>
      </c>
      <c r="I91" s="32">
        <f t="shared" si="37"/>
        <v>1400</v>
      </c>
      <c r="J91" s="33">
        <f t="shared" si="34"/>
        <v>19</v>
      </c>
      <c r="K91" s="195">
        <f>(1400*19%)+1400</f>
        <v>1666</v>
      </c>
      <c r="L91" s="85">
        <f>IF(I91="","",(K91)*$G$91)</f>
        <v>1666</v>
      </c>
      <c r="M91" s="705">
        <f t="shared" ref="M91" si="48">IFERROR(AVERAGE(L91:L92),"")</f>
        <v>2320.5</v>
      </c>
      <c r="N91" s="707">
        <f>IFERROR(HARMEAN(L91:L92),"")</f>
        <v>2135.897435897436</v>
      </c>
      <c r="O91" s="707">
        <f>IFERROR(MEDIAN(L91:L92),"")</f>
        <v>2320.5</v>
      </c>
      <c r="P91" s="25">
        <f t="shared" si="36"/>
        <v>1666</v>
      </c>
      <c r="Q91" s="544">
        <f>IFERROR(SUM(P91:P92)/COUNTA(K91:K92),"")</f>
        <v>2320.5</v>
      </c>
      <c r="R91" s="542">
        <f>IFERROR(_xlfn.STDEV.S(L91:L92),"")</f>
        <v>925.60277657319068</v>
      </c>
      <c r="S91" s="545">
        <f>IFERROR(R91/M91,"")</f>
        <v>0.39888074836164217</v>
      </c>
      <c r="T91" s="692" t="s">
        <v>2076</v>
      </c>
      <c r="U91" s="540">
        <f t="shared" si="28"/>
        <v>2320.5</v>
      </c>
      <c r="V91" s="695" t="s">
        <v>1060</v>
      </c>
      <c r="W91" s="192" t="s">
        <v>1061</v>
      </c>
    </row>
    <row r="92" spans="1:23" ht="40.5" customHeight="1" x14ac:dyDescent="0.3">
      <c r="A92" s="496"/>
      <c r="B92" s="697"/>
      <c r="C92" s="699"/>
      <c r="D92" s="701"/>
      <c r="E92" s="713"/>
      <c r="F92" s="704"/>
      <c r="G92" s="697"/>
      <c r="H92" s="69" t="s">
        <v>1062</v>
      </c>
      <c r="I92" s="32">
        <f t="shared" si="37"/>
        <v>2500</v>
      </c>
      <c r="J92" s="33">
        <f t="shared" si="34"/>
        <v>19</v>
      </c>
      <c r="K92" s="195">
        <f>(2500*19%)+2500</f>
        <v>2975</v>
      </c>
      <c r="L92" s="85">
        <f>IF(I92="","",(K92)*$G$91)</f>
        <v>2975</v>
      </c>
      <c r="M92" s="705"/>
      <c r="N92" s="707"/>
      <c r="O92" s="707"/>
      <c r="P92" s="25">
        <f t="shared" si="36"/>
        <v>2975</v>
      </c>
      <c r="Q92" s="544"/>
      <c r="R92" s="542"/>
      <c r="S92" s="545"/>
      <c r="T92" s="711"/>
      <c r="U92" s="540">
        <f t="shared" si="28"/>
        <v>0</v>
      </c>
      <c r="V92" s="712"/>
      <c r="W92" s="192" t="s">
        <v>1063</v>
      </c>
    </row>
    <row r="93" spans="1:23" ht="40.5" customHeight="1" x14ac:dyDescent="0.3">
      <c r="A93" s="496">
        <v>45</v>
      </c>
      <c r="B93" s="697">
        <v>31201503</v>
      </c>
      <c r="C93" s="699" t="s">
        <v>1064</v>
      </c>
      <c r="D93" s="701" t="s">
        <v>1065</v>
      </c>
      <c r="E93" s="713" t="s">
        <v>79</v>
      </c>
      <c r="F93" s="704" t="s">
        <v>79</v>
      </c>
      <c r="G93" s="697">
        <v>1</v>
      </c>
      <c r="H93" s="69" t="s">
        <v>1066</v>
      </c>
      <c r="I93" s="32">
        <f t="shared" si="37"/>
        <v>5000</v>
      </c>
      <c r="J93" s="33">
        <f t="shared" si="34"/>
        <v>19</v>
      </c>
      <c r="K93" s="195">
        <f>(5000*19%)+5000</f>
        <v>5950</v>
      </c>
      <c r="L93" s="85">
        <f>IF(I93="","",(K93)*$G$93)</f>
        <v>5950</v>
      </c>
      <c r="M93" s="705">
        <f t="shared" ref="M93" si="49">IFERROR(AVERAGE(L93:L94),"")</f>
        <v>5712</v>
      </c>
      <c r="N93" s="707">
        <f t="shared" ref="N93" si="50">IFERROR(HARMEAN(L93:L94),"")</f>
        <v>5702.083333333333</v>
      </c>
      <c r="O93" s="707">
        <f t="shared" ref="O93" si="51">IFERROR(MEDIAN(L93:L94),"")</f>
        <v>5712</v>
      </c>
      <c r="P93" s="25">
        <f t="shared" si="36"/>
        <v>5950</v>
      </c>
      <c r="Q93" s="544">
        <f t="shared" ref="Q93" si="52">IFERROR(SUM(P93:P94)/COUNTA(K93:K94),"")</f>
        <v>5712</v>
      </c>
      <c r="R93" s="542">
        <f t="shared" ref="R93" si="53">IFERROR(_xlfn.STDEV.S(L93:L94),"")</f>
        <v>336.58282784479661</v>
      </c>
      <c r="S93" s="545">
        <f t="shared" ref="S93" si="54">IFERROR(R93/M93,"")</f>
        <v>5.892556509887896E-2</v>
      </c>
      <c r="T93" s="692" t="s">
        <v>2076</v>
      </c>
      <c r="U93" s="540">
        <f t="shared" si="28"/>
        <v>5712</v>
      </c>
      <c r="V93" s="695" t="s">
        <v>1067</v>
      </c>
      <c r="W93" s="192" t="s">
        <v>1068</v>
      </c>
    </row>
    <row r="94" spans="1:23" ht="40.5" customHeight="1" x14ac:dyDescent="0.3">
      <c r="A94" s="496"/>
      <c r="B94" s="697"/>
      <c r="C94" s="699"/>
      <c r="D94" s="701"/>
      <c r="E94" s="713"/>
      <c r="F94" s="704"/>
      <c r="G94" s="697"/>
      <c r="H94" s="69" t="s">
        <v>1069</v>
      </c>
      <c r="I94" s="32">
        <f t="shared" si="37"/>
        <v>4600</v>
      </c>
      <c r="J94" s="33">
        <f t="shared" si="34"/>
        <v>19</v>
      </c>
      <c r="K94" s="195">
        <f>(4600*19%)+4600</f>
        <v>5474</v>
      </c>
      <c r="L94" s="85">
        <f>IF(I94="","",(K94)*$G$93)</f>
        <v>5474</v>
      </c>
      <c r="M94" s="705"/>
      <c r="N94" s="707"/>
      <c r="O94" s="707"/>
      <c r="P94" s="25">
        <f t="shared" si="36"/>
        <v>5474</v>
      </c>
      <c r="Q94" s="544"/>
      <c r="R94" s="542"/>
      <c r="S94" s="545"/>
      <c r="T94" s="711"/>
      <c r="U94" s="540">
        <f t="shared" si="28"/>
        <v>0</v>
      </c>
      <c r="V94" s="712"/>
      <c r="W94" s="192" t="s">
        <v>1070</v>
      </c>
    </row>
    <row r="95" spans="1:23" ht="40.5" customHeight="1" x14ac:dyDescent="0.3">
      <c r="A95" s="496">
        <v>46</v>
      </c>
      <c r="B95" s="697">
        <v>31201503</v>
      </c>
      <c r="C95" s="699" t="s">
        <v>1071</v>
      </c>
      <c r="D95" s="701" t="s">
        <v>1072</v>
      </c>
      <c r="E95" s="713" t="s">
        <v>79</v>
      </c>
      <c r="F95" s="704" t="s">
        <v>79</v>
      </c>
      <c r="G95" s="697">
        <v>1</v>
      </c>
      <c r="H95" s="69" t="s">
        <v>820</v>
      </c>
      <c r="I95" s="32">
        <f t="shared" si="37"/>
        <v>17389.411764705885</v>
      </c>
      <c r="J95" s="33">
        <f t="shared" si="34"/>
        <v>18.999999999999993</v>
      </c>
      <c r="K95" s="195">
        <v>20693.400000000001</v>
      </c>
      <c r="L95" s="85">
        <f>IF(I95="","",(K95)*$G$95)</f>
        <v>20693.400000000001</v>
      </c>
      <c r="M95" s="705">
        <f t="shared" ref="M95" si="55">IFERROR(AVERAGE(L95:L96),"")</f>
        <v>17786.2</v>
      </c>
      <c r="N95" s="707">
        <f t="shared" ref="N95" si="56">IFERROR(HARMEAN(L95:L96),"")</f>
        <v>17311.010704928543</v>
      </c>
      <c r="O95" s="707">
        <f t="shared" ref="O95" si="57">IFERROR(MEDIAN(L95:L96),"")</f>
        <v>17786.2</v>
      </c>
      <c r="P95" s="25">
        <f t="shared" si="36"/>
        <v>20693.400000000001</v>
      </c>
      <c r="Q95" s="544">
        <f t="shared" ref="Q95" si="58">IFERROR(SUM(P95:P96)/COUNTA(K95:K96),"")</f>
        <v>17786.2</v>
      </c>
      <c r="R95" s="542">
        <f t="shared" ref="R95" si="59">IFERROR(_xlfn.STDEV.S(L95:L96),"")</f>
        <v>4111.4016685310698</v>
      </c>
      <c r="S95" s="545">
        <f t="shared" ref="S95" si="60">IFERROR(R95/M95,"")</f>
        <v>0.23115683330509437</v>
      </c>
      <c r="T95" s="539" t="s">
        <v>881</v>
      </c>
      <c r="U95" s="540">
        <f t="shared" si="28"/>
        <v>17786.2</v>
      </c>
      <c r="V95" s="714" t="s">
        <v>882</v>
      </c>
      <c r="W95" s="190"/>
    </row>
    <row r="96" spans="1:23" ht="40.5" customHeight="1" x14ac:dyDescent="0.3">
      <c r="A96" s="496"/>
      <c r="B96" s="697"/>
      <c r="C96" s="699"/>
      <c r="D96" s="701"/>
      <c r="E96" s="713"/>
      <c r="F96" s="704"/>
      <c r="G96" s="697"/>
      <c r="H96" s="69" t="s">
        <v>874</v>
      </c>
      <c r="I96" s="32">
        <f t="shared" si="37"/>
        <v>12503.361344537816</v>
      </c>
      <c r="J96" s="33">
        <f t="shared" si="34"/>
        <v>18.999999999999993</v>
      </c>
      <c r="K96" s="195">
        <v>14879</v>
      </c>
      <c r="L96" s="85">
        <f>IF(I96="","",(K96)*$G$95)</f>
        <v>14879</v>
      </c>
      <c r="M96" s="705"/>
      <c r="N96" s="707"/>
      <c r="O96" s="707"/>
      <c r="P96" s="25">
        <f t="shared" si="36"/>
        <v>14879</v>
      </c>
      <c r="Q96" s="544"/>
      <c r="R96" s="542"/>
      <c r="S96" s="545"/>
      <c r="T96" s="539"/>
      <c r="U96" s="540">
        <f t="shared" si="28"/>
        <v>0</v>
      </c>
      <c r="V96" s="715"/>
      <c r="W96" s="190"/>
    </row>
    <row r="97" spans="1:23" ht="40.5" customHeight="1" x14ac:dyDescent="0.3">
      <c r="A97" s="496">
        <v>47</v>
      </c>
      <c r="B97" s="697">
        <v>55121705</v>
      </c>
      <c r="C97" s="699" t="s">
        <v>1073</v>
      </c>
      <c r="D97" s="701" t="s">
        <v>1073</v>
      </c>
      <c r="E97" s="713" t="s">
        <v>79</v>
      </c>
      <c r="F97" s="704" t="s">
        <v>1074</v>
      </c>
      <c r="G97" s="697">
        <v>1</v>
      </c>
      <c r="H97" s="69" t="s">
        <v>919</v>
      </c>
      <c r="I97" s="32">
        <f t="shared" si="37"/>
        <v>39900</v>
      </c>
      <c r="J97" s="33">
        <f t="shared" si="34"/>
        <v>19</v>
      </c>
      <c r="K97" s="195">
        <f>(39900*19%)+39900</f>
        <v>47481</v>
      </c>
      <c r="L97" s="85">
        <f>IF(I97="","",(K97)*$G$97)</f>
        <v>47481</v>
      </c>
      <c r="M97" s="705">
        <f t="shared" ref="M97" si="61">IFERROR(AVERAGE(L97:L98),"")</f>
        <v>47982.584999999999</v>
      </c>
      <c r="N97" s="707">
        <f t="shared" ref="N97" si="62">IFERROR(HARMEAN(L97:L98),"")</f>
        <v>47977.341691157322</v>
      </c>
      <c r="O97" s="707">
        <f t="shared" ref="O97" si="63">IFERROR(MEDIAN(L97:L98),"")</f>
        <v>47982.584999999999</v>
      </c>
      <c r="P97" s="25">
        <f t="shared" si="36"/>
        <v>47481</v>
      </c>
      <c r="Q97" s="544">
        <f t="shared" ref="Q97" si="64">IFERROR(SUM(P97:P98)/COUNTA(K97:K98),"")</f>
        <v>47982.584999999999</v>
      </c>
      <c r="R97" s="542">
        <f t="shared" ref="R97" si="65">IFERROR(_xlfn.STDEV.S(L97:L98),"")</f>
        <v>709.3483096829076</v>
      </c>
      <c r="S97" s="545">
        <f t="shared" ref="S97" si="66">IFERROR(R97/M97,"")</f>
        <v>1.4783453406749712E-2</v>
      </c>
      <c r="T97" s="692" t="s">
        <v>2076</v>
      </c>
      <c r="U97" s="540">
        <f t="shared" si="28"/>
        <v>47982.584999999999</v>
      </c>
      <c r="V97" s="695" t="s">
        <v>1075</v>
      </c>
      <c r="W97" s="192" t="s">
        <v>1076</v>
      </c>
    </row>
    <row r="98" spans="1:23" ht="40.5" customHeight="1" x14ac:dyDescent="0.3">
      <c r="A98" s="496"/>
      <c r="B98" s="697"/>
      <c r="C98" s="699"/>
      <c r="D98" s="701"/>
      <c r="E98" s="713"/>
      <c r="F98" s="704"/>
      <c r="G98" s="697"/>
      <c r="H98" s="69" t="s">
        <v>867</v>
      </c>
      <c r="I98" s="32">
        <f t="shared" si="37"/>
        <v>40743</v>
      </c>
      <c r="J98" s="33">
        <f t="shared" si="34"/>
        <v>18.999999999999993</v>
      </c>
      <c r="K98" s="195">
        <f>(40743*19%)+40743</f>
        <v>48484.17</v>
      </c>
      <c r="L98" s="85">
        <f>IF(I98="","",(K98)*$G$97)</f>
        <v>48484.17</v>
      </c>
      <c r="M98" s="705"/>
      <c r="N98" s="707"/>
      <c r="O98" s="707"/>
      <c r="P98" s="25">
        <f t="shared" si="36"/>
        <v>48484.17</v>
      </c>
      <c r="Q98" s="544"/>
      <c r="R98" s="542"/>
      <c r="S98" s="545"/>
      <c r="T98" s="711"/>
      <c r="U98" s="540">
        <f t="shared" si="28"/>
        <v>0</v>
      </c>
      <c r="V98" s="712"/>
      <c r="W98" s="192" t="s">
        <v>1077</v>
      </c>
    </row>
    <row r="99" spans="1:23" ht="40.5" customHeight="1" x14ac:dyDescent="0.3">
      <c r="A99" s="496">
        <v>48</v>
      </c>
      <c r="B99" s="697">
        <v>31201502</v>
      </c>
      <c r="C99" s="699" t="s">
        <v>1078</v>
      </c>
      <c r="D99" s="701" t="s">
        <v>1079</v>
      </c>
      <c r="E99" s="713" t="s">
        <v>79</v>
      </c>
      <c r="F99" s="704" t="s">
        <v>570</v>
      </c>
      <c r="G99" s="697">
        <v>1</v>
      </c>
      <c r="H99" s="69" t="s">
        <v>1080</v>
      </c>
      <c r="I99" s="32">
        <f t="shared" si="37"/>
        <v>5000</v>
      </c>
      <c r="J99" s="33">
        <f t="shared" si="34"/>
        <v>19</v>
      </c>
      <c r="K99" s="195">
        <f>(5000*19%)+5000</f>
        <v>5950</v>
      </c>
      <c r="L99" s="85">
        <f>IF(I99="","",(K99)*$G$99)</f>
        <v>5950</v>
      </c>
      <c r="M99" s="705">
        <f t="shared" ref="M99" si="67">IFERROR(AVERAGE(L99:L100),"")</f>
        <v>6545</v>
      </c>
      <c r="N99" s="707">
        <f t="shared" ref="N99" si="68">IFERROR(HARMEAN(L99:L100),"")</f>
        <v>6490.9090909090919</v>
      </c>
      <c r="O99" s="707">
        <f t="shared" ref="O99" si="69">IFERROR(MEDIAN(L99:L100),"")</f>
        <v>6545</v>
      </c>
      <c r="P99" s="25">
        <f t="shared" si="36"/>
        <v>5950</v>
      </c>
      <c r="Q99" s="544">
        <f t="shared" ref="Q99" si="70">IFERROR(SUM(P99:P100)/COUNTA(K99:K100),"")</f>
        <v>6545</v>
      </c>
      <c r="R99" s="542">
        <f t="shared" ref="R99" si="71">IFERROR(_xlfn.STDEV.S(L99:L100),"")</f>
        <v>841.45706961199153</v>
      </c>
      <c r="S99" s="545">
        <f t="shared" ref="S99" si="72">IFERROR(R99/M99,"")</f>
        <v>0.12856486930664501</v>
      </c>
      <c r="T99" s="692" t="s">
        <v>2076</v>
      </c>
      <c r="U99" s="540">
        <f t="shared" si="28"/>
        <v>6545</v>
      </c>
      <c r="V99" s="695" t="s">
        <v>1081</v>
      </c>
      <c r="W99" s="192" t="s">
        <v>1082</v>
      </c>
    </row>
    <row r="100" spans="1:23" ht="40.5" customHeight="1" x14ac:dyDescent="0.3">
      <c r="A100" s="496"/>
      <c r="B100" s="697"/>
      <c r="C100" s="699"/>
      <c r="D100" s="701"/>
      <c r="E100" s="713"/>
      <c r="F100" s="704"/>
      <c r="G100" s="697"/>
      <c r="H100" s="69" t="s">
        <v>1083</v>
      </c>
      <c r="I100" s="32">
        <f t="shared" si="37"/>
        <v>6000</v>
      </c>
      <c r="J100" s="33">
        <f t="shared" si="34"/>
        <v>19</v>
      </c>
      <c r="K100" s="195">
        <f>(6000*19%)+6000</f>
        <v>7140</v>
      </c>
      <c r="L100" s="85">
        <f>IF(I100="","",(K100)*$G$99)</f>
        <v>7140</v>
      </c>
      <c r="M100" s="705"/>
      <c r="N100" s="707"/>
      <c r="O100" s="707"/>
      <c r="P100" s="25">
        <f t="shared" si="36"/>
        <v>7140</v>
      </c>
      <c r="Q100" s="544"/>
      <c r="R100" s="542"/>
      <c r="S100" s="545"/>
      <c r="T100" s="711"/>
      <c r="U100" s="540">
        <f t="shared" si="28"/>
        <v>0</v>
      </c>
      <c r="V100" s="712"/>
      <c r="W100" s="192" t="s">
        <v>1084</v>
      </c>
    </row>
    <row r="101" spans="1:23" ht="40.5" customHeight="1" x14ac:dyDescent="0.3">
      <c r="A101" s="496">
        <v>49</v>
      </c>
      <c r="B101" s="697">
        <v>60141101</v>
      </c>
      <c r="C101" s="699" t="s">
        <v>1085</v>
      </c>
      <c r="D101" s="701" t="s">
        <v>1086</v>
      </c>
      <c r="E101" s="713" t="s">
        <v>79</v>
      </c>
      <c r="F101" s="704" t="s">
        <v>1087</v>
      </c>
      <c r="G101" s="697">
        <v>1</v>
      </c>
      <c r="H101" s="69" t="s">
        <v>828</v>
      </c>
      <c r="I101" s="32">
        <f t="shared" si="37"/>
        <v>17400</v>
      </c>
      <c r="J101" s="33">
        <f t="shared" si="34"/>
        <v>19</v>
      </c>
      <c r="K101" s="195">
        <f>(17400*19%)+17400</f>
        <v>20706</v>
      </c>
      <c r="L101" s="85">
        <f>IF(I101="","",(K101)*$G$101)</f>
        <v>20706</v>
      </c>
      <c r="M101" s="705">
        <f t="shared" ref="M101" si="73">IFERROR(AVERAGE(L101:L102),"")</f>
        <v>19516</v>
      </c>
      <c r="N101" s="707">
        <f t="shared" ref="N101" si="74">IFERROR(HARMEAN(L101:L102),"")</f>
        <v>19443.439024390245</v>
      </c>
      <c r="O101" s="707">
        <f t="shared" ref="O101" si="75">IFERROR(MEDIAN(L101:L102),"")</f>
        <v>19516</v>
      </c>
      <c r="P101" s="25">
        <f t="shared" si="36"/>
        <v>20706</v>
      </c>
      <c r="Q101" s="544">
        <f t="shared" ref="Q101" si="76">IFERROR(SUM(P101:P102)/COUNTA(K101:K102),"")</f>
        <v>19516</v>
      </c>
      <c r="R101" s="542">
        <f t="shared" ref="R101" si="77">IFERROR(_xlfn.STDEV.S(L101:L102),"")</f>
        <v>1682.9141392239831</v>
      </c>
      <c r="S101" s="545">
        <f t="shared" ref="S101" si="78">IFERROR(R101/M101,"")</f>
        <v>8.6232534291042384E-2</v>
      </c>
      <c r="T101" s="692" t="s">
        <v>2076</v>
      </c>
      <c r="U101" s="540">
        <f t="shared" si="28"/>
        <v>19516</v>
      </c>
      <c r="V101" s="695" t="s">
        <v>1088</v>
      </c>
      <c r="W101" s="192" t="s">
        <v>1089</v>
      </c>
    </row>
    <row r="102" spans="1:23" ht="40.5" customHeight="1" x14ac:dyDescent="0.3">
      <c r="A102" s="496"/>
      <c r="B102" s="697"/>
      <c r="C102" s="699"/>
      <c r="D102" s="701"/>
      <c r="E102" s="713"/>
      <c r="F102" s="704"/>
      <c r="G102" s="697"/>
      <c r="H102" s="69" t="s">
        <v>1090</v>
      </c>
      <c r="I102" s="32">
        <f t="shared" si="37"/>
        <v>15400</v>
      </c>
      <c r="J102" s="33">
        <f t="shared" si="34"/>
        <v>19</v>
      </c>
      <c r="K102" s="195">
        <f>(15400*19%)+15400</f>
        <v>18326</v>
      </c>
      <c r="L102" s="85">
        <f>IF(I102="","",(K102)*$G$101)</f>
        <v>18326</v>
      </c>
      <c r="M102" s="705"/>
      <c r="N102" s="707"/>
      <c r="O102" s="707"/>
      <c r="P102" s="25">
        <f t="shared" si="36"/>
        <v>18326</v>
      </c>
      <c r="Q102" s="544"/>
      <c r="R102" s="542"/>
      <c r="S102" s="545"/>
      <c r="T102" s="711"/>
      <c r="U102" s="540">
        <f t="shared" si="28"/>
        <v>0</v>
      </c>
      <c r="V102" s="712"/>
      <c r="W102" s="192" t="s">
        <v>1091</v>
      </c>
    </row>
    <row r="103" spans="1:23" ht="40.5" customHeight="1" x14ac:dyDescent="0.3">
      <c r="A103" s="496">
        <v>50</v>
      </c>
      <c r="B103" s="697">
        <v>44122104</v>
      </c>
      <c r="C103" s="699" t="s">
        <v>1092</v>
      </c>
      <c r="D103" s="701" t="s">
        <v>1093</v>
      </c>
      <c r="E103" s="669" t="s">
        <v>373</v>
      </c>
      <c r="F103" s="704" t="s">
        <v>1094</v>
      </c>
      <c r="G103" s="697">
        <v>1</v>
      </c>
      <c r="H103" s="69" t="s">
        <v>1062</v>
      </c>
      <c r="I103" s="32">
        <f t="shared" si="37"/>
        <v>2500</v>
      </c>
      <c r="J103" s="33">
        <f t="shared" si="34"/>
        <v>19</v>
      </c>
      <c r="K103" s="195">
        <f>(2500*19%)+2500</f>
        <v>2975</v>
      </c>
      <c r="L103" s="85">
        <f>IF(I103="","",(K103)*$G$103)</f>
        <v>2975</v>
      </c>
      <c r="M103" s="705">
        <f t="shared" ref="M103" si="79">IFERROR(AVERAGE(L103:L104),"")</f>
        <v>2059.89</v>
      </c>
      <c r="N103" s="707">
        <f t="shared" ref="N103" si="80">IFERROR(HARMEAN(L103:L104),"")</f>
        <v>1653.3506643558635</v>
      </c>
      <c r="O103" s="707">
        <f t="shared" ref="O103" si="81">IFERROR(MEDIAN(L103:L104),"")</f>
        <v>2059.89</v>
      </c>
      <c r="P103" s="25">
        <f t="shared" si="36"/>
        <v>2975</v>
      </c>
      <c r="Q103" s="544">
        <f t="shared" ref="Q103" si="82">IFERROR(SUM(P103:P104)/COUNTA(K103:K104),"")</f>
        <v>2059.89</v>
      </c>
      <c r="R103" s="542">
        <f t="shared" ref="R103" si="83">IFERROR(_xlfn.STDEV.S(L103:L104),"")</f>
        <v>1294.1609730632429</v>
      </c>
      <c r="S103" s="545">
        <f t="shared" ref="S103" si="84">IFERROR(R103/M103,"")</f>
        <v>0.62826703030901798</v>
      </c>
      <c r="T103" s="692" t="s">
        <v>2076</v>
      </c>
      <c r="U103" s="540">
        <f t="shared" si="28"/>
        <v>2059.89</v>
      </c>
      <c r="V103" s="695" t="s">
        <v>1095</v>
      </c>
      <c r="W103" s="192" t="s">
        <v>1096</v>
      </c>
    </row>
    <row r="104" spans="1:23" ht="40.5" customHeight="1" x14ac:dyDescent="0.3">
      <c r="A104" s="496"/>
      <c r="B104" s="697"/>
      <c r="C104" s="699"/>
      <c r="D104" s="701"/>
      <c r="E104" s="669"/>
      <c r="F104" s="704"/>
      <c r="G104" s="697"/>
      <c r="H104" s="69" t="s">
        <v>867</v>
      </c>
      <c r="I104" s="32">
        <f t="shared" si="37"/>
        <v>962</v>
      </c>
      <c r="J104" s="33">
        <f t="shared" si="34"/>
        <v>18.999999999999996</v>
      </c>
      <c r="K104" s="195">
        <f>(962*19%)+962</f>
        <v>1144.78</v>
      </c>
      <c r="L104" s="85">
        <f>IF(I104="","",(K104)*$G$103)</f>
        <v>1144.78</v>
      </c>
      <c r="M104" s="705"/>
      <c r="N104" s="707"/>
      <c r="O104" s="707"/>
      <c r="P104" s="25">
        <f t="shared" si="36"/>
        <v>1144.78</v>
      </c>
      <c r="Q104" s="544"/>
      <c r="R104" s="542"/>
      <c r="S104" s="545"/>
      <c r="T104" s="711"/>
      <c r="U104" s="540">
        <f t="shared" si="28"/>
        <v>0</v>
      </c>
      <c r="V104" s="712"/>
      <c r="W104" s="192" t="s">
        <v>1097</v>
      </c>
    </row>
    <row r="105" spans="1:23" ht="40.5" customHeight="1" x14ac:dyDescent="0.3">
      <c r="A105" s="496">
        <v>51</v>
      </c>
      <c r="B105" s="697">
        <v>60121301</v>
      </c>
      <c r="C105" s="699" t="s">
        <v>1098</v>
      </c>
      <c r="D105" s="701" t="s">
        <v>1099</v>
      </c>
      <c r="E105" s="669" t="s">
        <v>373</v>
      </c>
      <c r="F105" s="704" t="s">
        <v>1100</v>
      </c>
      <c r="G105" s="697">
        <v>1</v>
      </c>
      <c r="H105" s="69" t="s">
        <v>1003</v>
      </c>
      <c r="I105" s="32">
        <f t="shared" si="37"/>
        <v>140990</v>
      </c>
      <c r="J105" s="33">
        <f t="shared" si="34"/>
        <v>19.000000000000004</v>
      </c>
      <c r="K105" s="195">
        <f>(140990*19%)+140990</f>
        <v>167778.1</v>
      </c>
      <c r="L105" s="85">
        <f>IF(I105="","",(K105)*$G$105)</f>
        <v>167778.1</v>
      </c>
      <c r="M105" s="705">
        <f t="shared" ref="M105" si="85">IFERROR(AVERAGE(L105:L106),"")</f>
        <v>173133.1</v>
      </c>
      <c r="N105" s="707">
        <f t="shared" ref="N105" si="86">IFERROR(HARMEAN(L105:L106),"")</f>
        <v>172967.47005979795</v>
      </c>
      <c r="O105" s="707">
        <f t="shared" ref="O105" si="87">IFERROR(MEDIAN(L105:L106),"")</f>
        <v>173133.1</v>
      </c>
      <c r="P105" s="25">
        <f t="shared" si="36"/>
        <v>167778.1</v>
      </c>
      <c r="Q105" s="544">
        <f t="shared" ref="Q105" si="88">IFERROR(SUM(P105:P106)/COUNTA(K105:K106),"")</f>
        <v>173133.1</v>
      </c>
      <c r="R105" s="542">
        <f t="shared" ref="R105" si="89">IFERROR(_xlfn.STDEV.S(L105:L106),"")</f>
        <v>7573.113626507924</v>
      </c>
      <c r="S105" s="545">
        <f t="shared" ref="S105" si="90">IFERROR(R105/M105,"")</f>
        <v>4.3741570078211063E-2</v>
      </c>
      <c r="T105" s="692" t="s">
        <v>2076</v>
      </c>
      <c r="U105" s="540">
        <f t="shared" si="28"/>
        <v>173133.1</v>
      </c>
      <c r="V105" s="695" t="s">
        <v>1101</v>
      </c>
      <c r="W105" s="192" t="s">
        <v>1102</v>
      </c>
    </row>
    <row r="106" spans="1:23" ht="40.5" customHeight="1" x14ac:dyDescent="0.3">
      <c r="A106" s="496"/>
      <c r="B106" s="697"/>
      <c r="C106" s="699"/>
      <c r="D106" s="701"/>
      <c r="E106" s="669"/>
      <c r="F106" s="704"/>
      <c r="G106" s="697"/>
      <c r="H106" s="69" t="s">
        <v>736</v>
      </c>
      <c r="I106" s="32">
        <f t="shared" si="37"/>
        <v>149990</v>
      </c>
      <c r="J106" s="33">
        <f t="shared" si="34"/>
        <v>19.000000000000004</v>
      </c>
      <c r="K106" s="195">
        <f>(149990*19%)+149990</f>
        <v>178488.1</v>
      </c>
      <c r="L106" s="85">
        <f>IF(I106="","",(K106)*$G$105)</f>
        <v>178488.1</v>
      </c>
      <c r="M106" s="705"/>
      <c r="N106" s="707"/>
      <c r="O106" s="707"/>
      <c r="P106" s="25">
        <f t="shared" si="36"/>
        <v>178488.1</v>
      </c>
      <c r="Q106" s="544"/>
      <c r="R106" s="542"/>
      <c r="S106" s="545"/>
      <c r="T106" s="711"/>
      <c r="U106" s="540">
        <f t="shared" si="28"/>
        <v>0</v>
      </c>
      <c r="V106" s="712"/>
      <c r="W106" s="192" t="s">
        <v>1103</v>
      </c>
    </row>
    <row r="107" spans="1:23" ht="40.5" customHeight="1" x14ac:dyDescent="0.25">
      <c r="A107" s="496">
        <v>52</v>
      </c>
      <c r="B107" s="697">
        <v>44121615</v>
      </c>
      <c r="C107" s="699" t="s">
        <v>1104</v>
      </c>
      <c r="D107" s="701" t="s">
        <v>1105</v>
      </c>
      <c r="E107" s="713" t="s">
        <v>79</v>
      </c>
      <c r="F107" s="704" t="s">
        <v>79</v>
      </c>
      <c r="G107" s="697">
        <v>1</v>
      </c>
      <c r="H107" s="69" t="s">
        <v>874</v>
      </c>
      <c r="I107" s="32">
        <f t="shared" si="37"/>
        <v>13871.428571428572</v>
      </c>
      <c r="J107" s="33">
        <f t="shared" si="34"/>
        <v>18.999999999999993</v>
      </c>
      <c r="K107" s="195">
        <v>16507</v>
      </c>
      <c r="L107" s="85">
        <f>IF(I107="","",(K107)*$G$107)</f>
        <v>16507</v>
      </c>
      <c r="M107" s="705">
        <f t="shared" ref="M107" si="91">IFERROR(AVERAGE(L107:L108),"")</f>
        <v>19499</v>
      </c>
      <c r="N107" s="707">
        <f t="shared" ref="N107" si="92">IFERROR(HARMEAN(L107:L108),"")</f>
        <v>19039.896251089798</v>
      </c>
      <c r="O107" s="707">
        <f t="shared" ref="O107" si="93">IFERROR(MEDIAN(L107:L108),"")</f>
        <v>19499</v>
      </c>
      <c r="P107" s="25">
        <f t="shared" si="36"/>
        <v>16507</v>
      </c>
      <c r="Q107" s="544">
        <f t="shared" ref="Q107" si="94">IFERROR(SUM(P107:P108)/COUNTA(K107:K108),"")</f>
        <v>19499</v>
      </c>
      <c r="R107" s="542">
        <f t="shared" ref="R107" si="95">IFERROR(_xlfn.STDEV.S(L107:L108),"")</f>
        <v>4231.3269786203</v>
      </c>
      <c r="S107" s="545">
        <f t="shared" ref="S107" si="96">IFERROR(R107/M107,"")</f>
        <v>0.21700225542952459</v>
      </c>
      <c r="T107" s="539" t="s">
        <v>2075</v>
      </c>
      <c r="U107" s="540">
        <f t="shared" si="28"/>
        <v>19499</v>
      </c>
      <c r="V107" s="695" t="s">
        <v>1106</v>
      </c>
      <c r="W107" s="189" t="s">
        <v>876</v>
      </c>
    </row>
    <row r="108" spans="1:23" ht="40.5" customHeight="1" x14ac:dyDescent="0.3">
      <c r="A108" s="496"/>
      <c r="B108" s="697"/>
      <c r="C108" s="699"/>
      <c r="D108" s="701"/>
      <c r="E108" s="713"/>
      <c r="F108" s="704"/>
      <c r="G108" s="697"/>
      <c r="H108" s="69" t="s">
        <v>828</v>
      </c>
      <c r="I108" s="32">
        <f t="shared" si="37"/>
        <v>18900</v>
      </c>
      <c r="J108" s="33">
        <f t="shared" si="34"/>
        <v>19</v>
      </c>
      <c r="K108" s="195">
        <f>(18900*19%)+18900</f>
        <v>22491</v>
      </c>
      <c r="L108" s="85">
        <f>IF(I108="","",(K108)*$G$107)</f>
        <v>22491</v>
      </c>
      <c r="M108" s="705"/>
      <c r="N108" s="707"/>
      <c r="O108" s="707"/>
      <c r="P108" s="25">
        <f t="shared" si="36"/>
        <v>22491</v>
      </c>
      <c r="Q108" s="544"/>
      <c r="R108" s="542"/>
      <c r="S108" s="545"/>
      <c r="T108" s="539"/>
      <c r="U108" s="540">
        <f t="shared" si="28"/>
        <v>0</v>
      </c>
      <c r="V108" s="712"/>
      <c r="W108" s="192" t="s">
        <v>1107</v>
      </c>
    </row>
    <row r="109" spans="1:23" ht="40.5" customHeight="1" x14ac:dyDescent="0.3">
      <c r="A109" s="496">
        <v>53</v>
      </c>
      <c r="B109" s="697">
        <v>60101728</v>
      </c>
      <c r="C109" s="699" t="s">
        <v>1108</v>
      </c>
      <c r="D109" s="701" t="s">
        <v>1109</v>
      </c>
      <c r="E109" s="669" t="s">
        <v>373</v>
      </c>
      <c r="F109" s="704" t="s">
        <v>1110</v>
      </c>
      <c r="G109" s="697">
        <v>1</v>
      </c>
      <c r="H109" s="69" t="s">
        <v>722</v>
      </c>
      <c r="I109" s="32">
        <f t="shared" si="37"/>
        <v>33769</v>
      </c>
      <c r="J109" s="33">
        <f t="shared" si="34"/>
        <v>19.000000000000004</v>
      </c>
      <c r="K109" s="195">
        <f>(33769*19%)+33769</f>
        <v>40185.11</v>
      </c>
      <c r="L109" s="85">
        <f>IF(I109="","",(K109)*$G$109)</f>
        <v>40185.11</v>
      </c>
      <c r="M109" s="705">
        <f t="shared" ref="M109" si="97">IFERROR(AVERAGE(L109:L110),"")</f>
        <v>43661.1</v>
      </c>
      <c r="N109" s="707">
        <f t="shared" ref="N109" si="98">IFERROR(HARMEAN(L109:L110),"")</f>
        <v>43384.366100027255</v>
      </c>
      <c r="O109" s="707">
        <f t="shared" ref="O109" si="99">IFERROR(MEDIAN(L109:L110),"")</f>
        <v>43661.1</v>
      </c>
      <c r="P109" s="25">
        <f t="shared" si="36"/>
        <v>40185.11</v>
      </c>
      <c r="Q109" s="544">
        <f t="shared" ref="Q109" si="100">IFERROR(SUM(P109:P110)/COUNTA(K109:K110),"")</f>
        <v>43661.1</v>
      </c>
      <c r="R109" s="542">
        <f t="shared" ref="R109" si="101">IFERROR(_xlfn.STDEV.S(L109:L110),"")</f>
        <v>4915.7922006732515</v>
      </c>
      <c r="S109" s="545">
        <f t="shared" ref="S109" si="102">IFERROR(R109/M109,"")</f>
        <v>0.11258974695262491</v>
      </c>
      <c r="T109" s="692" t="s">
        <v>2076</v>
      </c>
      <c r="U109" s="540">
        <f t="shared" si="28"/>
        <v>43661.1</v>
      </c>
      <c r="V109" s="695" t="s">
        <v>1111</v>
      </c>
      <c r="W109" s="192" t="s">
        <v>1112</v>
      </c>
    </row>
    <row r="110" spans="1:23" ht="40.5" customHeight="1" x14ac:dyDescent="0.3">
      <c r="A110" s="496"/>
      <c r="B110" s="697"/>
      <c r="C110" s="699"/>
      <c r="D110" s="701"/>
      <c r="E110" s="669"/>
      <c r="F110" s="704"/>
      <c r="G110" s="697"/>
      <c r="H110" s="69" t="s">
        <v>1113</v>
      </c>
      <c r="I110" s="32">
        <f t="shared" si="37"/>
        <v>39611</v>
      </c>
      <c r="J110" s="33">
        <f t="shared" si="34"/>
        <v>18.999999999999993</v>
      </c>
      <c r="K110" s="195">
        <f>(39611*19%)+39611</f>
        <v>47137.09</v>
      </c>
      <c r="L110" s="85">
        <f>IF(I110="","",(K110)*$G$109)</f>
        <v>47137.09</v>
      </c>
      <c r="M110" s="705"/>
      <c r="N110" s="707"/>
      <c r="O110" s="707"/>
      <c r="P110" s="25">
        <f t="shared" si="36"/>
        <v>47137.09</v>
      </c>
      <c r="Q110" s="544"/>
      <c r="R110" s="542"/>
      <c r="S110" s="545"/>
      <c r="T110" s="711"/>
      <c r="U110" s="540">
        <f t="shared" si="28"/>
        <v>0</v>
      </c>
      <c r="V110" s="712"/>
      <c r="W110" s="192" t="s">
        <v>1114</v>
      </c>
    </row>
    <row r="111" spans="1:23" ht="40.5" customHeight="1" x14ac:dyDescent="0.3">
      <c r="A111" s="496">
        <v>54</v>
      </c>
      <c r="B111" s="697">
        <v>14111514</v>
      </c>
      <c r="C111" s="699" t="s">
        <v>1115</v>
      </c>
      <c r="D111" s="701" t="s">
        <v>1116</v>
      </c>
      <c r="E111" s="713" t="s">
        <v>79</v>
      </c>
      <c r="F111" s="704" t="s">
        <v>79</v>
      </c>
      <c r="G111" s="697">
        <v>1</v>
      </c>
      <c r="H111" s="69" t="s">
        <v>820</v>
      </c>
      <c r="I111" s="32">
        <f t="shared" si="37"/>
        <v>14038.487394957983</v>
      </c>
      <c r="J111" s="33">
        <f t="shared" si="34"/>
        <v>18.999999999999993</v>
      </c>
      <c r="K111" s="195">
        <v>16705.8</v>
      </c>
      <c r="L111" s="85">
        <f>IF(I111="","",(K111)*$G$111)</f>
        <v>16705.8</v>
      </c>
      <c r="M111" s="705">
        <f t="shared" ref="M111" si="103">IFERROR(AVERAGE(L111:L112),"")</f>
        <v>22228.9</v>
      </c>
      <c r="N111" s="707">
        <f t="shared" ref="N111" si="104">IFERROR(HARMEAN(L111:L112),"")</f>
        <v>20856.603862539305</v>
      </c>
      <c r="O111" s="707">
        <f t="shared" ref="O111" si="105">IFERROR(MEDIAN(L111:L112),"")</f>
        <v>22228.9</v>
      </c>
      <c r="P111" s="25">
        <f t="shared" si="36"/>
        <v>16705.8</v>
      </c>
      <c r="Q111" s="544">
        <f t="shared" ref="Q111" si="106">IFERROR(SUM(P111:P112)/COUNTA(K111:K112),"")</f>
        <v>22228.9</v>
      </c>
      <c r="R111" s="542">
        <f t="shared" ref="R111" si="107">IFERROR(_xlfn.STDEV.S(L111:L112),"")</f>
        <v>7810.8429263428352</v>
      </c>
      <c r="S111" s="545">
        <f t="shared" ref="S111" si="108">IFERROR(R111/M111,"")</f>
        <v>0.35138234129186935</v>
      </c>
      <c r="T111" s="539" t="s">
        <v>881</v>
      </c>
      <c r="U111" s="540">
        <f t="shared" si="28"/>
        <v>22228.9</v>
      </c>
      <c r="V111" s="714" t="s">
        <v>882</v>
      </c>
      <c r="W111" s="190"/>
    </row>
    <row r="112" spans="1:23" ht="40.5" customHeight="1" x14ac:dyDescent="0.3">
      <c r="A112" s="496"/>
      <c r="B112" s="697"/>
      <c r="C112" s="699"/>
      <c r="D112" s="701"/>
      <c r="E112" s="713"/>
      <c r="F112" s="704"/>
      <c r="G112" s="697"/>
      <c r="H112" s="69" t="s">
        <v>874</v>
      </c>
      <c r="I112" s="32">
        <f t="shared" si="37"/>
        <v>23321.008403361346</v>
      </c>
      <c r="J112" s="33">
        <f t="shared" si="34"/>
        <v>18.999999999999993</v>
      </c>
      <c r="K112" s="195">
        <v>27752</v>
      </c>
      <c r="L112" s="85">
        <f>IF(I112="","",(K112)*$G$111)</f>
        <v>27752</v>
      </c>
      <c r="M112" s="705"/>
      <c r="N112" s="707"/>
      <c r="O112" s="707"/>
      <c r="P112" s="25">
        <f t="shared" si="36"/>
        <v>27752</v>
      </c>
      <c r="Q112" s="544"/>
      <c r="R112" s="542"/>
      <c r="S112" s="545"/>
      <c r="T112" s="539"/>
      <c r="U112" s="540">
        <f t="shared" si="28"/>
        <v>0</v>
      </c>
      <c r="V112" s="715"/>
      <c r="W112" s="190"/>
    </row>
    <row r="113" spans="1:23" ht="40.5" customHeight="1" x14ac:dyDescent="0.3">
      <c r="A113" s="496">
        <v>55</v>
      </c>
      <c r="B113" s="697">
        <v>14111514</v>
      </c>
      <c r="C113" s="699" t="s">
        <v>1117</v>
      </c>
      <c r="D113" s="701" t="s">
        <v>1118</v>
      </c>
      <c r="E113" s="713" t="s">
        <v>79</v>
      </c>
      <c r="F113" s="704" t="s">
        <v>1087</v>
      </c>
      <c r="G113" s="697">
        <v>1</v>
      </c>
      <c r="H113" s="69" t="s">
        <v>1119</v>
      </c>
      <c r="I113" s="32">
        <f t="shared" si="37"/>
        <v>2500</v>
      </c>
      <c r="J113" s="33">
        <f t="shared" si="34"/>
        <v>19</v>
      </c>
      <c r="K113" s="195">
        <f>(2500*19%)+2500</f>
        <v>2975</v>
      </c>
      <c r="L113" s="85">
        <f>IF(I113="","",(K113)*$G$113)</f>
        <v>2975</v>
      </c>
      <c r="M113" s="705">
        <f t="shared" ref="M113" si="109">IFERROR(AVERAGE(L113:L114),"")</f>
        <v>3266.55</v>
      </c>
      <c r="N113" s="707">
        <f t="shared" ref="N113" si="110">IFERROR(HARMEAN(L113:L114),"")</f>
        <v>3240.5282331511839</v>
      </c>
      <c r="O113" s="707">
        <f t="shared" ref="O113" si="111">IFERROR(MEDIAN(L113:L114),"")</f>
        <v>3266.55</v>
      </c>
      <c r="P113" s="25">
        <f t="shared" si="36"/>
        <v>2975</v>
      </c>
      <c r="Q113" s="544">
        <f t="shared" ref="Q113" si="112">IFERROR(SUM(P113:P114)/COUNTA(K113:K114),"")</f>
        <v>3266.55</v>
      </c>
      <c r="R113" s="542">
        <f t="shared" ref="R113" si="113">IFERROR(_xlfn.STDEV.S(L113:L114),"")</f>
        <v>412.31396410987577</v>
      </c>
      <c r="S113" s="545">
        <f t="shared" ref="S113" si="114">IFERROR(R113/M113,"")</f>
        <v>0.12622306840852757</v>
      </c>
      <c r="T113" s="692" t="s">
        <v>2076</v>
      </c>
      <c r="U113" s="540">
        <f t="shared" si="28"/>
        <v>3266.55</v>
      </c>
      <c r="V113" s="695" t="s">
        <v>1120</v>
      </c>
      <c r="W113" s="192" t="s">
        <v>1121</v>
      </c>
    </row>
    <row r="114" spans="1:23" ht="40.5" customHeight="1" x14ac:dyDescent="0.3">
      <c r="A114" s="496"/>
      <c r="B114" s="697"/>
      <c r="C114" s="699"/>
      <c r="D114" s="701"/>
      <c r="E114" s="713"/>
      <c r="F114" s="704"/>
      <c r="G114" s="697"/>
      <c r="H114" s="69" t="s">
        <v>1122</v>
      </c>
      <c r="I114" s="32">
        <f t="shared" si="37"/>
        <v>2990</v>
      </c>
      <c r="J114" s="33">
        <f t="shared" si="34"/>
        <v>18.999999999999996</v>
      </c>
      <c r="K114" s="195">
        <f>(2990*19%)+2990</f>
        <v>3558.1</v>
      </c>
      <c r="L114" s="85">
        <f>IF(I114="","",(K114)*$G$113)</f>
        <v>3558.1</v>
      </c>
      <c r="M114" s="705"/>
      <c r="N114" s="707"/>
      <c r="O114" s="707"/>
      <c r="P114" s="25">
        <f t="shared" si="36"/>
        <v>3558.1</v>
      </c>
      <c r="Q114" s="544"/>
      <c r="R114" s="542"/>
      <c r="S114" s="545"/>
      <c r="T114" s="711"/>
      <c r="U114" s="540">
        <f t="shared" si="28"/>
        <v>0</v>
      </c>
      <c r="V114" s="712"/>
      <c r="W114" s="192" t="s">
        <v>1123</v>
      </c>
    </row>
    <row r="115" spans="1:23" ht="40.5" customHeight="1" x14ac:dyDescent="0.3">
      <c r="A115" s="496">
        <v>56</v>
      </c>
      <c r="B115" s="697">
        <v>14111514</v>
      </c>
      <c r="C115" s="699" t="s">
        <v>1117</v>
      </c>
      <c r="D115" s="701" t="s">
        <v>1124</v>
      </c>
      <c r="E115" s="713" t="s">
        <v>79</v>
      </c>
      <c r="F115" s="704" t="s">
        <v>1087</v>
      </c>
      <c r="G115" s="697">
        <v>1</v>
      </c>
      <c r="H115" s="69" t="s">
        <v>1119</v>
      </c>
      <c r="I115" s="32">
        <f t="shared" si="37"/>
        <v>2500</v>
      </c>
      <c r="J115" s="33">
        <f t="shared" si="34"/>
        <v>19</v>
      </c>
      <c r="K115" s="195">
        <f>(2500*19%)+2500</f>
        <v>2975</v>
      </c>
      <c r="L115" s="85">
        <f>IF(I115="","",(K115)*$G$115)</f>
        <v>2975</v>
      </c>
      <c r="M115" s="705">
        <f t="shared" ref="M115" si="115">IFERROR(AVERAGE(L115:L116),"")</f>
        <v>2499</v>
      </c>
      <c r="N115" s="707">
        <f t="shared" ref="N115" si="116">IFERROR(HARMEAN(L115:L116),"")</f>
        <v>2408.3333333333335</v>
      </c>
      <c r="O115" s="707">
        <f t="shared" ref="O115" si="117">IFERROR(MEDIAN(L115:L116),"")</f>
        <v>2499</v>
      </c>
      <c r="P115" s="25">
        <f t="shared" si="36"/>
        <v>2975</v>
      </c>
      <c r="Q115" s="544">
        <f t="shared" ref="Q115" si="118">IFERROR(SUM(P115:P116)/COUNTA(K115:K116),"")</f>
        <v>2499</v>
      </c>
      <c r="R115" s="542">
        <f t="shared" ref="R115" si="119">IFERROR(_xlfn.STDEV.S(L115:L116),"")</f>
        <v>673.16565568959322</v>
      </c>
      <c r="S115" s="545">
        <f t="shared" ref="S115" si="120">IFERROR(R115/M115,"")</f>
        <v>0.26937401188058951</v>
      </c>
      <c r="T115" s="692" t="s">
        <v>2076</v>
      </c>
      <c r="U115" s="540">
        <f t="shared" si="28"/>
        <v>2499</v>
      </c>
      <c r="V115" s="695" t="s">
        <v>1125</v>
      </c>
      <c r="W115" s="192" t="s">
        <v>1126</v>
      </c>
    </row>
    <row r="116" spans="1:23" ht="40.5" customHeight="1" x14ac:dyDescent="0.3">
      <c r="A116" s="496"/>
      <c r="B116" s="697"/>
      <c r="C116" s="699"/>
      <c r="D116" s="701"/>
      <c r="E116" s="713"/>
      <c r="F116" s="704"/>
      <c r="G116" s="697"/>
      <c r="H116" s="69" t="s">
        <v>1127</v>
      </c>
      <c r="I116" s="32">
        <f t="shared" si="37"/>
        <v>1700</v>
      </c>
      <c r="J116" s="33">
        <f t="shared" si="34"/>
        <v>19</v>
      </c>
      <c r="K116" s="195">
        <f>(1700*19%)+1700</f>
        <v>2023</v>
      </c>
      <c r="L116" s="85">
        <f>IF(I116="","",(K116)*$G$115)</f>
        <v>2023</v>
      </c>
      <c r="M116" s="705"/>
      <c r="N116" s="707"/>
      <c r="O116" s="707"/>
      <c r="P116" s="25">
        <f t="shared" si="36"/>
        <v>2023</v>
      </c>
      <c r="Q116" s="544"/>
      <c r="R116" s="542"/>
      <c r="S116" s="545"/>
      <c r="T116" s="711"/>
      <c r="U116" s="540">
        <f t="shared" si="28"/>
        <v>0</v>
      </c>
      <c r="V116" s="712"/>
      <c r="W116" s="192" t="s">
        <v>1128</v>
      </c>
    </row>
    <row r="117" spans="1:23" ht="40.5" customHeight="1" x14ac:dyDescent="0.3">
      <c r="A117" s="496">
        <v>57</v>
      </c>
      <c r="B117" s="697">
        <v>52151503</v>
      </c>
      <c r="C117" s="733" t="s">
        <v>1129</v>
      </c>
      <c r="D117" s="701" t="s">
        <v>1130</v>
      </c>
      <c r="E117" s="713" t="s">
        <v>290</v>
      </c>
      <c r="F117" s="704" t="s">
        <v>1131</v>
      </c>
      <c r="G117" s="697">
        <v>1</v>
      </c>
      <c r="H117" s="69" t="s">
        <v>1069</v>
      </c>
      <c r="I117" s="32">
        <f t="shared" si="37"/>
        <v>4800</v>
      </c>
      <c r="J117" s="33">
        <f t="shared" si="34"/>
        <v>19</v>
      </c>
      <c r="K117" s="195">
        <f>(4800*19%)+4800</f>
        <v>5712</v>
      </c>
      <c r="L117" s="85">
        <f>IF(I117="","",(K117)*$G$117)</f>
        <v>5712</v>
      </c>
      <c r="M117" s="705">
        <f t="shared" ref="M117" si="121">IFERROR(AVERAGE(L117:L118),"")</f>
        <v>5593</v>
      </c>
      <c r="N117" s="707">
        <f t="shared" ref="N117" si="122">IFERROR(HARMEAN(L117:L118),"")</f>
        <v>5590.4680851063831</v>
      </c>
      <c r="O117" s="707">
        <f t="shared" ref="O117" si="123">IFERROR(MEDIAN(L117:L118),"")</f>
        <v>5593</v>
      </c>
      <c r="P117" s="25">
        <f t="shared" si="36"/>
        <v>5712</v>
      </c>
      <c r="Q117" s="544">
        <f t="shared" ref="Q117" si="124">IFERROR(SUM(P117:P118)/COUNTA(K117:K118),"")</f>
        <v>5593</v>
      </c>
      <c r="R117" s="542">
        <f t="shared" ref="R117" si="125">IFERROR(_xlfn.STDEV.S(L117:L118),"")</f>
        <v>168.29141392239831</v>
      </c>
      <c r="S117" s="545">
        <f t="shared" ref="S117" si="126">IFERROR(R117/M117,"")</f>
        <v>3.0089650263257342E-2</v>
      </c>
      <c r="T117" s="692" t="s">
        <v>2076</v>
      </c>
      <c r="U117" s="540">
        <f t="shared" si="28"/>
        <v>5593</v>
      </c>
      <c r="V117" s="695" t="s">
        <v>1132</v>
      </c>
      <c r="W117" s="192" t="s">
        <v>1133</v>
      </c>
    </row>
    <row r="118" spans="1:23" ht="40.5" customHeight="1" x14ac:dyDescent="0.3">
      <c r="A118" s="496"/>
      <c r="B118" s="697"/>
      <c r="C118" s="733"/>
      <c r="D118" s="701"/>
      <c r="E118" s="713"/>
      <c r="F118" s="704"/>
      <c r="G118" s="697"/>
      <c r="H118" s="69" t="s">
        <v>1134</v>
      </c>
      <c r="I118" s="32">
        <f t="shared" si="37"/>
        <v>4600</v>
      </c>
      <c r="J118" s="33">
        <f t="shared" si="34"/>
        <v>19</v>
      </c>
      <c r="K118" s="195">
        <f>(4600*19%)+4600</f>
        <v>5474</v>
      </c>
      <c r="L118" s="85">
        <f>IF(I118="","",(K118)*$G$117)</f>
        <v>5474</v>
      </c>
      <c r="M118" s="705"/>
      <c r="N118" s="707"/>
      <c r="O118" s="707"/>
      <c r="P118" s="25">
        <f t="shared" si="36"/>
        <v>5474</v>
      </c>
      <c r="Q118" s="544"/>
      <c r="R118" s="542"/>
      <c r="S118" s="545"/>
      <c r="T118" s="711"/>
      <c r="U118" s="540">
        <f t="shared" si="28"/>
        <v>0</v>
      </c>
      <c r="V118" s="712"/>
      <c r="W118" s="192" t="s">
        <v>1135</v>
      </c>
    </row>
    <row r="119" spans="1:23" ht="40.5" customHeight="1" x14ac:dyDescent="0.3">
      <c r="A119" s="496">
        <v>58</v>
      </c>
      <c r="B119" s="697">
        <v>41111604</v>
      </c>
      <c r="C119" s="699" t="s">
        <v>1136</v>
      </c>
      <c r="D119" s="701" t="s">
        <v>1137</v>
      </c>
      <c r="E119" s="713" t="s">
        <v>79</v>
      </c>
      <c r="F119" s="704" t="s">
        <v>1087</v>
      </c>
      <c r="G119" s="697">
        <v>1</v>
      </c>
      <c r="H119" s="69" t="s">
        <v>1138</v>
      </c>
      <c r="I119" s="32">
        <f t="shared" si="37"/>
        <v>12990</v>
      </c>
      <c r="J119" s="33">
        <f t="shared" si="34"/>
        <v>19.000000000000004</v>
      </c>
      <c r="K119" s="195">
        <f>(12990*19%)+12990</f>
        <v>15458.1</v>
      </c>
      <c r="L119" s="85">
        <f>IF(I119="","",(K119)*$G$119)</f>
        <v>15458.1</v>
      </c>
      <c r="M119" s="705">
        <f t="shared" ref="M119" si="127">IFERROR(AVERAGE(L119:L120),"")</f>
        <v>14869.05</v>
      </c>
      <c r="N119" s="707">
        <f t="shared" ref="N119" si="128">IFERROR(HARMEAN(L119:L120),"")</f>
        <v>14845.714285714286</v>
      </c>
      <c r="O119" s="707">
        <f t="shared" ref="O119" si="129">IFERROR(MEDIAN(L119:L120),"")</f>
        <v>14869.05</v>
      </c>
      <c r="P119" s="25">
        <f t="shared" si="36"/>
        <v>15458.1</v>
      </c>
      <c r="Q119" s="544">
        <f t="shared" ref="Q119" si="130">IFERROR(SUM(P119:P120)/COUNTA(K119:K120),"")</f>
        <v>14869.05</v>
      </c>
      <c r="R119" s="542">
        <f t="shared" ref="R119" si="131">IFERROR(_xlfn.STDEV.S(L119:L120),"")</f>
        <v>833.04249891587187</v>
      </c>
      <c r="S119" s="545">
        <f t="shared" ref="S119" si="132">IFERROR(R119/M119,"")</f>
        <v>5.602526717684532E-2</v>
      </c>
      <c r="T119" s="692" t="s">
        <v>2076</v>
      </c>
      <c r="U119" s="540">
        <f t="shared" si="28"/>
        <v>14869.05</v>
      </c>
      <c r="V119" s="695" t="s">
        <v>1139</v>
      </c>
      <c r="W119" s="192" t="s">
        <v>1140</v>
      </c>
    </row>
    <row r="120" spans="1:23" ht="40.5" customHeight="1" x14ac:dyDescent="0.3">
      <c r="A120" s="496"/>
      <c r="B120" s="697"/>
      <c r="C120" s="699"/>
      <c r="D120" s="701"/>
      <c r="E120" s="713"/>
      <c r="F120" s="704"/>
      <c r="G120" s="697"/>
      <c r="H120" s="69" t="s">
        <v>1141</v>
      </c>
      <c r="I120" s="32">
        <f t="shared" si="37"/>
        <v>12000</v>
      </c>
      <c r="J120" s="33">
        <f t="shared" si="34"/>
        <v>19</v>
      </c>
      <c r="K120" s="195">
        <f>(12000*19%)+12000</f>
        <v>14280</v>
      </c>
      <c r="L120" s="85">
        <f>IF(I120="","",(K120)*$G$119)</f>
        <v>14280</v>
      </c>
      <c r="M120" s="705"/>
      <c r="N120" s="707"/>
      <c r="O120" s="707"/>
      <c r="P120" s="25">
        <f t="shared" si="36"/>
        <v>14280</v>
      </c>
      <c r="Q120" s="544"/>
      <c r="R120" s="542"/>
      <c r="S120" s="545"/>
      <c r="T120" s="711"/>
      <c r="U120" s="540">
        <f t="shared" si="28"/>
        <v>0</v>
      </c>
      <c r="V120" s="712"/>
      <c r="W120" s="192" t="s">
        <v>1142</v>
      </c>
    </row>
    <row r="121" spans="1:23" ht="40.5" customHeight="1" x14ac:dyDescent="0.3">
      <c r="A121" s="496">
        <v>59</v>
      </c>
      <c r="B121" s="697">
        <v>60101728</v>
      </c>
      <c r="C121" s="733" t="s">
        <v>1143</v>
      </c>
      <c r="D121" s="701" t="s">
        <v>1144</v>
      </c>
      <c r="E121" s="713" t="s">
        <v>511</v>
      </c>
      <c r="F121" s="704" t="s">
        <v>1145</v>
      </c>
      <c r="G121" s="697">
        <v>1</v>
      </c>
      <c r="H121" s="69" t="s">
        <v>722</v>
      </c>
      <c r="I121" s="32">
        <f t="shared" si="37"/>
        <v>270000</v>
      </c>
      <c r="J121" s="33">
        <f t="shared" si="34"/>
        <v>19</v>
      </c>
      <c r="K121" s="195">
        <f>(270000*19%)+270000</f>
        <v>321300</v>
      </c>
      <c r="L121" s="85">
        <f>IF(I121="","",(K121)*$G$121)</f>
        <v>321300</v>
      </c>
      <c r="M121" s="705">
        <f t="shared" ref="M121" si="133">IFERROR(AVERAGE(L121:L122),"")</f>
        <v>327250</v>
      </c>
      <c r="N121" s="707">
        <f t="shared" ref="N121" si="134">IFERROR(HARMEAN(L121:L122),"")</f>
        <v>327141.81818181818</v>
      </c>
      <c r="O121" s="707">
        <f t="shared" ref="O121" si="135">IFERROR(MEDIAN(L121:L122),"")</f>
        <v>327250</v>
      </c>
      <c r="P121" s="25">
        <f t="shared" si="36"/>
        <v>321300</v>
      </c>
      <c r="Q121" s="544">
        <f t="shared" ref="Q121" si="136">IFERROR(SUM(P121:P122)/COUNTA(K121:K122),"")</f>
        <v>327250</v>
      </c>
      <c r="R121" s="542">
        <f t="shared" ref="R121" si="137">IFERROR(_xlfn.STDEV.S(L121:L122),"")</f>
        <v>8414.5706961199157</v>
      </c>
      <c r="S121" s="545">
        <f t="shared" ref="S121" si="138">IFERROR(R121/M121,"")</f>
        <v>2.5712973861329001E-2</v>
      </c>
      <c r="T121" s="692" t="s">
        <v>2076</v>
      </c>
      <c r="U121" s="540">
        <f t="shared" ref="U121:U184" si="139">M121</f>
        <v>327250</v>
      </c>
      <c r="V121" s="695" t="s">
        <v>1146</v>
      </c>
      <c r="W121" s="192" t="s">
        <v>1147</v>
      </c>
    </row>
    <row r="122" spans="1:23" ht="40.5" customHeight="1" x14ac:dyDescent="0.3">
      <c r="A122" s="496"/>
      <c r="B122" s="697"/>
      <c r="C122" s="733"/>
      <c r="D122" s="701"/>
      <c r="E122" s="713"/>
      <c r="F122" s="704"/>
      <c r="G122" s="697"/>
      <c r="H122" s="69" t="s">
        <v>1148</v>
      </c>
      <c r="I122" s="32">
        <f t="shared" si="37"/>
        <v>280000</v>
      </c>
      <c r="J122" s="33">
        <f t="shared" si="34"/>
        <v>19</v>
      </c>
      <c r="K122" s="195">
        <f>(280000*19%)+280000</f>
        <v>333200</v>
      </c>
      <c r="L122" s="85">
        <f>IF(I122="","",(K122)*$G$121)</f>
        <v>333200</v>
      </c>
      <c r="M122" s="705"/>
      <c r="N122" s="707"/>
      <c r="O122" s="707"/>
      <c r="P122" s="25">
        <f t="shared" si="36"/>
        <v>333200</v>
      </c>
      <c r="Q122" s="544"/>
      <c r="R122" s="542"/>
      <c r="S122" s="545"/>
      <c r="T122" s="711"/>
      <c r="U122" s="540">
        <f t="shared" si="139"/>
        <v>0</v>
      </c>
      <c r="V122" s="712"/>
      <c r="W122" s="192" t="s">
        <v>1149</v>
      </c>
    </row>
    <row r="123" spans="1:23" ht="40.5" customHeight="1" x14ac:dyDescent="0.3">
      <c r="A123" s="496">
        <v>60</v>
      </c>
      <c r="B123" s="697">
        <v>60121231</v>
      </c>
      <c r="C123" s="699" t="s">
        <v>1150</v>
      </c>
      <c r="D123" s="701" t="s">
        <v>1151</v>
      </c>
      <c r="E123" s="669" t="s">
        <v>141</v>
      </c>
      <c r="F123" s="704" t="s">
        <v>1152</v>
      </c>
      <c r="G123" s="697">
        <v>1</v>
      </c>
      <c r="H123" s="69" t="s">
        <v>1062</v>
      </c>
      <c r="I123" s="32">
        <f t="shared" si="37"/>
        <v>280000</v>
      </c>
      <c r="J123" s="33">
        <f t="shared" si="34"/>
        <v>19</v>
      </c>
      <c r="K123" s="195">
        <f>(280000*19%)+280000</f>
        <v>333200</v>
      </c>
      <c r="L123" s="85">
        <f>IF(I123="","",(K123)*$G$123)</f>
        <v>333200</v>
      </c>
      <c r="M123" s="705">
        <f t="shared" ref="M123" si="140">IFERROR(AVERAGE(L123:L124),"")</f>
        <v>190340.5</v>
      </c>
      <c r="N123" s="707">
        <f t="shared" ref="N123" si="141">IFERROR(HARMEAN(L123:L124),"")</f>
        <v>83117.724288840269</v>
      </c>
      <c r="O123" s="707">
        <f t="shared" ref="O123" si="142">IFERROR(MEDIAN(L123:L124),"")</f>
        <v>190340.5</v>
      </c>
      <c r="P123" s="25">
        <f t="shared" si="36"/>
        <v>333200</v>
      </c>
      <c r="Q123" s="544">
        <f t="shared" ref="Q123" si="143">IFERROR(SUM(P123:P124)/COUNTA(K123:K124),"")</f>
        <v>190340.5</v>
      </c>
      <c r="R123" s="542">
        <f t="shared" ref="R123" si="144">IFERROR(_xlfn.STDEV.S(L123:L124),"")</f>
        <v>202033.84241383919</v>
      </c>
      <c r="S123" s="545">
        <f t="shared" ref="S123" si="145">IFERROR(R123/M123,"")</f>
        <v>1.061433811584183</v>
      </c>
      <c r="T123" s="692" t="s">
        <v>2076</v>
      </c>
      <c r="U123" s="540">
        <f t="shared" si="139"/>
        <v>190340.5</v>
      </c>
      <c r="V123" s="695" t="s">
        <v>1153</v>
      </c>
      <c r="W123" s="192" t="s">
        <v>1154</v>
      </c>
    </row>
    <row r="124" spans="1:23" ht="40.5" customHeight="1" x14ac:dyDescent="0.3">
      <c r="A124" s="496"/>
      <c r="B124" s="697"/>
      <c r="C124" s="699"/>
      <c r="D124" s="701"/>
      <c r="E124" s="669"/>
      <c r="F124" s="704"/>
      <c r="G124" s="697"/>
      <c r="H124" s="69" t="s">
        <v>828</v>
      </c>
      <c r="I124" s="32">
        <f t="shared" si="37"/>
        <v>39900</v>
      </c>
      <c r="J124" s="33">
        <f t="shared" si="34"/>
        <v>19</v>
      </c>
      <c r="K124" s="195">
        <f>(39900*19%)+39900</f>
        <v>47481</v>
      </c>
      <c r="L124" s="85">
        <f>IF(I124="","",(K124)*$G$123)</f>
        <v>47481</v>
      </c>
      <c r="M124" s="705"/>
      <c r="N124" s="707"/>
      <c r="O124" s="707"/>
      <c r="P124" s="25">
        <f t="shared" si="36"/>
        <v>47481</v>
      </c>
      <c r="Q124" s="544"/>
      <c r="R124" s="542"/>
      <c r="S124" s="545"/>
      <c r="T124" s="711"/>
      <c r="U124" s="540">
        <f t="shared" si="139"/>
        <v>0</v>
      </c>
      <c r="V124" s="712"/>
      <c r="W124" s="192" t="s">
        <v>1155</v>
      </c>
    </row>
    <row r="125" spans="1:23" ht="40.5" customHeight="1" x14ac:dyDescent="0.3">
      <c r="A125" s="496">
        <v>61</v>
      </c>
      <c r="B125" s="697">
        <v>44121708</v>
      </c>
      <c r="C125" s="699" t="s">
        <v>1156</v>
      </c>
      <c r="D125" s="701" t="s">
        <v>1157</v>
      </c>
      <c r="E125" s="713" t="s">
        <v>290</v>
      </c>
      <c r="F125" s="704" t="s">
        <v>885</v>
      </c>
      <c r="G125" s="697">
        <v>1</v>
      </c>
      <c r="H125" s="69" t="s">
        <v>1158</v>
      </c>
      <c r="I125" s="32">
        <f t="shared" si="37"/>
        <v>11990</v>
      </c>
      <c r="J125" s="33">
        <f t="shared" si="34"/>
        <v>19.000000000000004</v>
      </c>
      <c r="K125" s="195">
        <f>(11990*19%)+11990</f>
        <v>14268.1</v>
      </c>
      <c r="L125" s="85">
        <f>IF(I125="","",(K125)*$G$125)</f>
        <v>14268.1</v>
      </c>
      <c r="M125" s="705">
        <f t="shared" ref="M125" si="146">IFERROR(AVERAGE(L125:L126),"")</f>
        <v>13560.05</v>
      </c>
      <c r="N125" s="707">
        <f t="shared" ref="N125" si="147">IFERROR(HARMEAN(L125:L126),"")</f>
        <v>13523.07854322071</v>
      </c>
      <c r="O125" s="707">
        <f t="shared" ref="O125" si="148">IFERROR(MEDIAN(L125:L126),"")</f>
        <v>13560.05</v>
      </c>
      <c r="P125" s="25">
        <f t="shared" si="36"/>
        <v>14268.1</v>
      </c>
      <c r="Q125" s="544">
        <f t="shared" ref="Q125" si="149">IFERROR(SUM(P125:P126)/COUNTA(K125:K126),"")</f>
        <v>13560.05</v>
      </c>
      <c r="R125" s="542">
        <f t="shared" ref="R125" si="150">IFERROR(_xlfn.STDEV.S(L125:L126),"")</f>
        <v>1001.3339128382702</v>
      </c>
      <c r="S125" s="545">
        <f t="shared" ref="S125" si="151">IFERROR(R125/M125,"")</f>
        <v>7.384441154997734E-2</v>
      </c>
      <c r="T125" s="692" t="s">
        <v>2076</v>
      </c>
      <c r="U125" s="540">
        <f t="shared" si="139"/>
        <v>13560.05</v>
      </c>
      <c r="V125" s="716" t="s">
        <v>1159</v>
      </c>
      <c r="W125" s="192" t="s">
        <v>1160</v>
      </c>
    </row>
    <row r="126" spans="1:23" ht="40.5" customHeight="1" x14ac:dyDescent="0.3">
      <c r="A126" s="496"/>
      <c r="B126" s="697"/>
      <c r="C126" s="699"/>
      <c r="D126" s="701"/>
      <c r="E126" s="713"/>
      <c r="F126" s="704"/>
      <c r="G126" s="697"/>
      <c r="H126" s="69" t="s">
        <v>932</v>
      </c>
      <c r="I126" s="32">
        <f t="shared" si="37"/>
        <v>10800</v>
      </c>
      <c r="J126" s="33">
        <f t="shared" si="34"/>
        <v>19</v>
      </c>
      <c r="K126" s="195">
        <f>(10800*19%)+10800</f>
        <v>12852</v>
      </c>
      <c r="L126" s="85">
        <f>IF(I126="","",(K126)*$G$125)</f>
        <v>12852</v>
      </c>
      <c r="M126" s="705"/>
      <c r="N126" s="707"/>
      <c r="O126" s="707"/>
      <c r="P126" s="25">
        <f t="shared" si="36"/>
        <v>12852</v>
      </c>
      <c r="Q126" s="544"/>
      <c r="R126" s="542"/>
      <c r="S126" s="545"/>
      <c r="T126" s="711"/>
      <c r="U126" s="540">
        <f t="shared" si="139"/>
        <v>0</v>
      </c>
      <c r="V126" s="717"/>
      <c r="W126" s="192" t="s">
        <v>1161</v>
      </c>
    </row>
    <row r="127" spans="1:23" ht="40.5" customHeight="1" x14ac:dyDescent="0.3">
      <c r="A127" s="496">
        <v>62</v>
      </c>
      <c r="B127" s="697">
        <v>55121508</v>
      </c>
      <c r="C127" s="699" t="s">
        <v>1162</v>
      </c>
      <c r="D127" s="701" t="s">
        <v>1163</v>
      </c>
      <c r="E127" s="713" t="s">
        <v>72</v>
      </c>
      <c r="F127" s="704" t="s">
        <v>1164</v>
      </c>
      <c r="G127" s="697">
        <v>1</v>
      </c>
      <c r="H127" s="69" t="s">
        <v>722</v>
      </c>
      <c r="I127" s="32">
        <f t="shared" si="37"/>
        <v>34900</v>
      </c>
      <c r="J127" s="33">
        <f t="shared" si="34"/>
        <v>19</v>
      </c>
      <c r="K127" s="195">
        <f>(34900*19%)+34900</f>
        <v>41531</v>
      </c>
      <c r="L127" s="85">
        <f>IF(I127="","",(K127)*$G$127)</f>
        <v>41531</v>
      </c>
      <c r="M127" s="705">
        <f t="shared" ref="M127" si="152">IFERROR(AVERAGE(L127:L128),"")</f>
        <v>38734.5</v>
      </c>
      <c r="N127" s="707">
        <f t="shared" ref="N127" si="153">IFERROR(HARMEAN(L127:L128),"")</f>
        <v>38532.602150537634</v>
      </c>
      <c r="O127" s="707">
        <f t="shared" ref="O127" si="154">IFERROR(MEDIAN(L127:L128),"")</f>
        <v>38734.5</v>
      </c>
      <c r="P127" s="25">
        <f t="shared" si="36"/>
        <v>41531</v>
      </c>
      <c r="Q127" s="544">
        <f t="shared" ref="Q127" si="155">IFERROR(SUM(P127:P128)/COUNTA(K127:K128),"")</f>
        <v>38734.5</v>
      </c>
      <c r="R127" s="542">
        <f t="shared" ref="R127" si="156">IFERROR(_xlfn.STDEV.S(L127:L128),"")</f>
        <v>3954.8482271763605</v>
      </c>
      <c r="S127" s="545">
        <f t="shared" ref="S127" si="157">IFERROR(R127/M127,"")</f>
        <v>0.10210143998699765</v>
      </c>
      <c r="T127" s="692" t="s">
        <v>2076</v>
      </c>
      <c r="U127" s="540">
        <f t="shared" si="139"/>
        <v>38734.5</v>
      </c>
      <c r="V127" s="695" t="s">
        <v>1165</v>
      </c>
      <c r="W127" s="192" t="s">
        <v>1166</v>
      </c>
    </row>
    <row r="128" spans="1:23" ht="40.5" customHeight="1" x14ac:dyDescent="0.3">
      <c r="A128" s="496"/>
      <c r="B128" s="697"/>
      <c r="C128" s="699"/>
      <c r="D128" s="701"/>
      <c r="E128" s="713"/>
      <c r="F128" s="704"/>
      <c r="G128" s="697"/>
      <c r="H128" s="69" t="s">
        <v>1069</v>
      </c>
      <c r="I128" s="32">
        <f t="shared" si="37"/>
        <v>30200</v>
      </c>
      <c r="J128" s="33">
        <f t="shared" si="34"/>
        <v>19</v>
      </c>
      <c r="K128" s="195">
        <f>(30200*19%)+30200</f>
        <v>35938</v>
      </c>
      <c r="L128" s="85">
        <f>IF(I128="","",(K128)*$G$127)</f>
        <v>35938</v>
      </c>
      <c r="M128" s="705"/>
      <c r="N128" s="707"/>
      <c r="O128" s="707"/>
      <c r="P128" s="25">
        <f t="shared" si="36"/>
        <v>35938</v>
      </c>
      <c r="Q128" s="544"/>
      <c r="R128" s="542"/>
      <c r="S128" s="545"/>
      <c r="T128" s="711"/>
      <c r="U128" s="540">
        <f t="shared" si="139"/>
        <v>0</v>
      </c>
      <c r="V128" s="712"/>
      <c r="W128" s="192" t="s">
        <v>1167</v>
      </c>
    </row>
    <row r="129" spans="1:23" ht="40.5" customHeight="1" x14ac:dyDescent="0.3">
      <c r="A129" s="496">
        <v>63</v>
      </c>
      <c r="B129" s="697">
        <v>27111801</v>
      </c>
      <c r="C129" s="699" t="s">
        <v>1168</v>
      </c>
      <c r="D129" s="701" t="s">
        <v>1169</v>
      </c>
      <c r="E129" s="713" t="s">
        <v>79</v>
      </c>
      <c r="F129" s="704" t="s">
        <v>79</v>
      </c>
      <c r="G129" s="697">
        <v>1</v>
      </c>
      <c r="H129" s="69" t="s">
        <v>1170</v>
      </c>
      <c r="I129" s="32">
        <f t="shared" si="37"/>
        <v>11990</v>
      </c>
      <c r="J129" s="33">
        <f t="shared" si="34"/>
        <v>19.000000000000004</v>
      </c>
      <c r="K129" s="195">
        <f>(11990*19%)+11990</f>
        <v>14268.1</v>
      </c>
      <c r="L129" s="85">
        <f>IF(I129="","",(K129)*$G$129)</f>
        <v>14268.1</v>
      </c>
      <c r="M129" s="705">
        <f t="shared" ref="M129" si="158">IFERROR(AVERAGE(L129:L130),"")</f>
        <v>14571.55</v>
      </c>
      <c r="N129" s="707">
        <f t="shared" ref="N129" si="159">IFERROR(HARMEAN(L129:L130),"")</f>
        <v>14565.230706410781</v>
      </c>
      <c r="O129" s="707">
        <f t="shared" ref="O129" si="160">IFERROR(MEDIAN(L129:L130),"")</f>
        <v>14571.55</v>
      </c>
      <c r="P129" s="25">
        <f t="shared" si="36"/>
        <v>14268.1</v>
      </c>
      <c r="Q129" s="544">
        <f t="shared" ref="Q129" si="161">IFERROR(SUM(P129:P130)/COUNTA(K129:K130),"")</f>
        <v>14571.55</v>
      </c>
      <c r="R129" s="542">
        <f t="shared" ref="R129" si="162">IFERROR(_xlfn.STDEV.S(L129:L130),"")</f>
        <v>429.14310550211547</v>
      </c>
      <c r="S129" s="545">
        <f t="shared" ref="S129" si="163">IFERROR(R129/M129,"")</f>
        <v>2.9450752013486244E-2</v>
      </c>
      <c r="T129" s="692" t="s">
        <v>2076</v>
      </c>
      <c r="U129" s="540">
        <f t="shared" si="139"/>
        <v>14571.55</v>
      </c>
      <c r="V129" s="695" t="s">
        <v>1171</v>
      </c>
      <c r="W129" s="192" t="s">
        <v>1172</v>
      </c>
    </row>
    <row r="130" spans="1:23" ht="40.5" customHeight="1" x14ac:dyDescent="0.3">
      <c r="A130" s="496"/>
      <c r="B130" s="697"/>
      <c r="C130" s="699"/>
      <c r="D130" s="701"/>
      <c r="E130" s="713"/>
      <c r="F130" s="704"/>
      <c r="G130" s="697"/>
      <c r="H130" s="69" t="s">
        <v>736</v>
      </c>
      <c r="I130" s="32">
        <f t="shared" si="37"/>
        <v>12500</v>
      </c>
      <c r="J130" s="33">
        <f t="shared" si="34"/>
        <v>19</v>
      </c>
      <c r="K130" s="195">
        <f>(12500*19%)+12500</f>
        <v>14875</v>
      </c>
      <c r="L130" s="85">
        <f>IF(I130="","",(K130)*$G$129)</f>
        <v>14875</v>
      </c>
      <c r="M130" s="705"/>
      <c r="N130" s="707"/>
      <c r="O130" s="707"/>
      <c r="P130" s="25">
        <f t="shared" si="36"/>
        <v>14875</v>
      </c>
      <c r="Q130" s="544"/>
      <c r="R130" s="542"/>
      <c r="S130" s="545"/>
      <c r="T130" s="711"/>
      <c r="U130" s="540">
        <f t="shared" si="139"/>
        <v>0</v>
      </c>
      <c r="V130" s="712"/>
      <c r="W130" s="192" t="s">
        <v>1173</v>
      </c>
    </row>
    <row r="131" spans="1:23" ht="40.5" customHeight="1" x14ac:dyDescent="0.3">
      <c r="A131" s="496">
        <v>64</v>
      </c>
      <c r="B131" s="697">
        <v>13111307</v>
      </c>
      <c r="C131" s="699" t="s">
        <v>1174</v>
      </c>
      <c r="D131" s="701" t="s">
        <v>1175</v>
      </c>
      <c r="E131" s="713" t="s">
        <v>1021</v>
      </c>
      <c r="F131" s="704" t="s">
        <v>1021</v>
      </c>
      <c r="G131" s="697">
        <v>1</v>
      </c>
      <c r="H131" s="69" t="s">
        <v>820</v>
      </c>
      <c r="I131" s="32">
        <f t="shared" si="37"/>
        <v>3022.1848739495799</v>
      </c>
      <c r="J131" s="33">
        <f t="shared" si="34"/>
        <v>19</v>
      </c>
      <c r="K131" s="195">
        <v>3596.4</v>
      </c>
      <c r="L131" s="85">
        <f>IF(I131="","",(K131)*$G$131)</f>
        <v>3596.4</v>
      </c>
      <c r="M131" s="705">
        <f t="shared" ref="M131" si="164">IFERROR(AVERAGE(L131:L132),"")</f>
        <v>3051.2</v>
      </c>
      <c r="N131" s="707">
        <f t="shared" ref="N131" si="165">IFERROR(HARMEAN(L131:L132),"")</f>
        <v>2953.7815941269009</v>
      </c>
      <c r="O131" s="707">
        <f t="shared" ref="O131" si="166">IFERROR(MEDIAN(L131:L132),"")</f>
        <v>3051.2</v>
      </c>
      <c r="P131" s="25">
        <f t="shared" si="36"/>
        <v>3596.4</v>
      </c>
      <c r="Q131" s="544">
        <f t="shared" ref="Q131" si="167">IFERROR(SUM(P131:P132)/COUNTA(K131:K132),"")</f>
        <v>3051.2</v>
      </c>
      <c r="R131" s="542">
        <f t="shared" ref="R131" si="168">IFERROR(_xlfn.STDEV.S(L131:L132),"")</f>
        <v>771.02923420581271</v>
      </c>
      <c r="S131" s="545">
        <f t="shared" ref="S131" si="169">IFERROR(R131/M131,"")</f>
        <v>0.25269704844186314</v>
      </c>
      <c r="T131" s="539" t="s">
        <v>881</v>
      </c>
      <c r="U131" s="540">
        <f t="shared" si="139"/>
        <v>3051.2</v>
      </c>
      <c r="V131" s="714" t="s">
        <v>882</v>
      </c>
      <c r="W131" s="190"/>
    </row>
    <row r="132" spans="1:23" ht="40.5" customHeight="1" x14ac:dyDescent="0.3">
      <c r="A132" s="496"/>
      <c r="B132" s="697"/>
      <c r="C132" s="699"/>
      <c r="D132" s="701"/>
      <c r="E132" s="713"/>
      <c r="F132" s="704"/>
      <c r="G132" s="697"/>
      <c r="H132" s="69" t="s">
        <v>874</v>
      </c>
      <c r="I132" s="32">
        <f t="shared" si="37"/>
        <v>2105.8823529411766</v>
      </c>
      <c r="J132" s="33">
        <f t="shared" si="34"/>
        <v>18.999999999999993</v>
      </c>
      <c r="K132" s="195">
        <v>2506</v>
      </c>
      <c r="L132" s="85">
        <f>IF(I132="","",(K132)*$G$131)</f>
        <v>2506</v>
      </c>
      <c r="M132" s="705"/>
      <c r="N132" s="707"/>
      <c r="O132" s="707"/>
      <c r="P132" s="25">
        <f t="shared" si="36"/>
        <v>2506</v>
      </c>
      <c r="Q132" s="544"/>
      <c r="R132" s="542"/>
      <c r="S132" s="545"/>
      <c r="T132" s="539"/>
      <c r="U132" s="540">
        <f t="shared" si="139"/>
        <v>0</v>
      </c>
      <c r="V132" s="715"/>
      <c r="W132" s="190"/>
    </row>
    <row r="133" spans="1:23" ht="40.5" customHeight="1" x14ac:dyDescent="0.3">
      <c r="A133" s="496">
        <v>65</v>
      </c>
      <c r="B133" s="697">
        <v>44122104</v>
      </c>
      <c r="C133" s="699" t="s">
        <v>1176</v>
      </c>
      <c r="D133" s="701" t="s">
        <v>1177</v>
      </c>
      <c r="E133" s="669" t="s">
        <v>373</v>
      </c>
      <c r="F133" s="704" t="s">
        <v>1178</v>
      </c>
      <c r="G133" s="697">
        <v>1</v>
      </c>
      <c r="H133" s="69" t="s">
        <v>1179</v>
      </c>
      <c r="I133" s="32">
        <f t="shared" si="37"/>
        <v>9464</v>
      </c>
      <c r="J133" s="33">
        <f t="shared" ref="J133:J196" si="170">IF(K133="","",(K133-(K133/1.19))/(K133/1.19)*100)</f>
        <v>18.999999999999996</v>
      </c>
      <c r="K133" s="195">
        <f>(9464*19%)+9464</f>
        <v>11262.16</v>
      </c>
      <c r="L133" s="85">
        <f>IF(I133="","",(K133)*$G$133)</f>
        <v>11262.16</v>
      </c>
      <c r="M133" s="705">
        <f t="shared" ref="M133" si="171">IFERROR(AVERAGE(L133:L134),"")</f>
        <v>12652.08</v>
      </c>
      <c r="N133" s="707">
        <f t="shared" ref="N133" si="172">IFERROR(HARMEAN(L133:L134),"")</f>
        <v>12499.387509405567</v>
      </c>
      <c r="O133" s="707">
        <f t="shared" ref="O133" si="173">IFERROR(MEDIAN(L133:L134),"")</f>
        <v>12652.08</v>
      </c>
      <c r="P133" s="25">
        <f t="shared" ref="P133:P196" si="174">IF(L133="","",L133)</f>
        <v>11262.16</v>
      </c>
      <c r="Q133" s="544">
        <f t="shared" ref="Q133" si="175">IFERROR(SUM(P133:P134)/COUNTA(K133:K134),"")</f>
        <v>12652.08</v>
      </c>
      <c r="R133" s="542">
        <f t="shared" ref="R133" si="176">IFERROR(_xlfn.STDEV.S(L133:L134),"")</f>
        <v>1965.6437146136036</v>
      </c>
      <c r="S133" s="545">
        <f t="shared" ref="S133" si="177">IFERROR(R133/M133,"")</f>
        <v>0.1553613093351926</v>
      </c>
      <c r="T133" s="692" t="s">
        <v>2076</v>
      </c>
      <c r="U133" s="540">
        <f t="shared" si="139"/>
        <v>12652.08</v>
      </c>
      <c r="V133" s="695" t="s">
        <v>1180</v>
      </c>
      <c r="W133" s="192" t="s">
        <v>1181</v>
      </c>
    </row>
    <row r="134" spans="1:23" ht="40.5" customHeight="1" x14ac:dyDescent="0.3">
      <c r="A134" s="496"/>
      <c r="B134" s="697"/>
      <c r="C134" s="699"/>
      <c r="D134" s="701"/>
      <c r="E134" s="669"/>
      <c r="F134" s="704"/>
      <c r="G134" s="697"/>
      <c r="H134" s="69" t="s">
        <v>1182</v>
      </c>
      <c r="I134" s="32">
        <f t="shared" ref="I134:I197" si="178">IFERROR(K134/((100+J134)/100),"")</f>
        <v>11800</v>
      </c>
      <c r="J134" s="33">
        <f t="shared" si="170"/>
        <v>19</v>
      </c>
      <c r="K134" s="195">
        <f>(11800*19%)+11800</f>
        <v>14042</v>
      </c>
      <c r="L134" s="85">
        <f>IF(I134="","",(K134)*$G$133)</f>
        <v>14042</v>
      </c>
      <c r="M134" s="705"/>
      <c r="N134" s="707"/>
      <c r="O134" s="707"/>
      <c r="P134" s="25">
        <f t="shared" si="174"/>
        <v>14042</v>
      </c>
      <c r="Q134" s="544"/>
      <c r="R134" s="542"/>
      <c r="S134" s="545"/>
      <c r="T134" s="711"/>
      <c r="U134" s="540">
        <f t="shared" si="139"/>
        <v>0</v>
      </c>
      <c r="V134" s="712"/>
      <c r="W134" s="192" t="s">
        <v>1183</v>
      </c>
    </row>
    <row r="135" spans="1:23" s="76" customFormat="1" ht="40.5" customHeight="1" x14ac:dyDescent="0.3">
      <c r="A135" s="496">
        <v>66</v>
      </c>
      <c r="B135" s="724">
        <v>44122104</v>
      </c>
      <c r="C135" s="729" t="s">
        <v>1184</v>
      </c>
      <c r="D135" s="730" t="s">
        <v>1185</v>
      </c>
      <c r="E135" s="731" t="s">
        <v>373</v>
      </c>
      <c r="F135" s="732" t="s">
        <v>1178</v>
      </c>
      <c r="G135" s="724">
        <v>1</v>
      </c>
      <c r="H135" s="147" t="s">
        <v>1182</v>
      </c>
      <c r="I135" s="73">
        <f t="shared" si="178"/>
        <v>2900</v>
      </c>
      <c r="J135" s="74">
        <f t="shared" si="170"/>
        <v>19</v>
      </c>
      <c r="K135" s="195">
        <f>(2900*19%)+2900</f>
        <v>3451</v>
      </c>
      <c r="L135" s="198">
        <f>IF(I135="","",(K135)*$G$135)</f>
        <v>3451</v>
      </c>
      <c r="M135" s="725">
        <f t="shared" ref="M135" si="179">IFERROR(AVERAGE(L135:L136),"")</f>
        <v>3224.9</v>
      </c>
      <c r="N135" s="726">
        <f t="shared" ref="N135" si="180">IFERROR(HARMEAN(L135:L136),"")</f>
        <v>3209.0479704797044</v>
      </c>
      <c r="O135" s="726">
        <f t="shared" ref="O135" si="181">IFERROR(MEDIAN(L135:L136),"")</f>
        <v>3224.9</v>
      </c>
      <c r="P135" s="75">
        <f t="shared" si="174"/>
        <v>3451</v>
      </c>
      <c r="Q135" s="727">
        <f t="shared" ref="Q135" si="182">IFERROR(SUM(P135:P136)/COUNTA(K135:K136),"")</f>
        <v>3224.9</v>
      </c>
      <c r="R135" s="728">
        <f t="shared" ref="R135" si="183">IFERROR(_xlfn.STDEV.S(L135:L136),"")</f>
        <v>319.75368645255668</v>
      </c>
      <c r="S135" s="720">
        <f t="shared" ref="S135" si="184">IFERROR(R135/M135,"")</f>
        <v>9.9151504373021393E-2</v>
      </c>
      <c r="T135" s="692" t="s">
        <v>2076</v>
      </c>
      <c r="U135" s="721">
        <f t="shared" si="139"/>
        <v>3224.9</v>
      </c>
      <c r="V135" s="722" t="s">
        <v>1186</v>
      </c>
      <c r="W135" s="192" t="s">
        <v>1183</v>
      </c>
    </row>
    <row r="136" spans="1:23" s="76" customFormat="1" ht="40.5" customHeight="1" x14ac:dyDescent="0.3">
      <c r="A136" s="496"/>
      <c r="B136" s="724"/>
      <c r="C136" s="729"/>
      <c r="D136" s="730"/>
      <c r="E136" s="731"/>
      <c r="F136" s="732"/>
      <c r="G136" s="724"/>
      <c r="H136" s="69" t="s">
        <v>1179</v>
      </c>
      <c r="I136" s="73">
        <f t="shared" si="178"/>
        <v>2520.0000000000005</v>
      </c>
      <c r="J136" s="74">
        <f t="shared" si="170"/>
        <v>18.999999999999986</v>
      </c>
      <c r="K136" s="195">
        <f>(2520*19%)+2520</f>
        <v>2998.8</v>
      </c>
      <c r="L136" s="198">
        <f>IF(I136="","",(K136)*$G$135)</f>
        <v>2998.8</v>
      </c>
      <c r="M136" s="725"/>
      <c r="N136" s="726"/>
      <c r="O136" s="726"/>
      <c r="P136" s="75">
        <f t="shared" si="174"/>
        <v>2998.8</v>
      </c>
      <c r="Q136" s="727"/>
      <c r="R136" s="728"/>
      <c r="S136" s="720"/>
      <c r="T136" s="711"/>
      <c r="U136" s="721">
        <f t="shared" si="139"/>
        <v>0</v>
      </c>
      <c r="V136" s="723"/>
      <c r="W136" s="192" t="s">
        <v>1187</v>
      </c>
    </row>
    <row r="137" spans="1:23" ht="40.5" customHeight="1" x14ac:dyDescent="0.3">
      <c r="A137" s="496">
        <v>67</v>
      </c>
      <c r="B137" s="697">
        <v>14111519</v>
      </c>
      <c r="C137" s="699" t="s">
        <v>1188</v>
      </c>
      <c r="D137" s="701" t="s">
        <v>1189</v>
      </c>
      <c r="E137" s="713" t="s">
        <v>290</v>
      </c>
      <c r="F137" s="704" t="s">
        <v>290</v>
      </c>
      <c r="G137" s="697">
        <v>1</v>
      </c>
      <c r="H137" s="69" t="s">
        <v>874</v>
      </c>
      <c r="I137" s="32">
        <f t="shared" si="178"/>
        <v>25269.747899159665</v>
      </c>
      <c r="J137" s="33">
        <f t="shared" si="170"/>
        <v>18.999999999999993</v>
      </c>
      <c r="K137" s="195">
        <v>30071</v>
      </c>
      <c r="L137" s="85">
        <f>IF(I137="","",(K137)*$G$137)</f>
        <v>30071</v>
      </c>
      <c r="M137" s="705">
        <f t="shared" ref="M137" si="185">IFERROR(AVERAGE(L137:L138),"")</f>
        <v>28037.75</v>
      </c>
      <c r="N137" s="707">
        <f t="shared" ref="N137" si="186">IFERROR(HARMEAN(L137:L138),"")</f>
        <v>27890.302164046687</v>
      </c>
      <c r="O137" s="707">
        <f t="shared" ref="O137" si="187">IFERROR(MEDIAN(L137:L138),"")</f>
        <v>28037.75</v>
      </c>
      <c r="P137" s="25">
        <f t="shared" si="174"/>
        <v>30071</v>
      </c>
      <c r="Q137" s="544">
        <f t="shared" ref="Q137" si="188">IFERROR(SUM(P137:P138)/COUNTA(K137:K138),"")</f>
        <v>28037.75</v>
      </c>
      <c r="R137" s="542">
        <f t="shared" ref="R137" si="189">IFERROR(_xlfn.STDEV.S(L137:L138),"")</f>
        <v>2875.4497256950954</v>
      </c>
      <c r="S137" s="545">
        <f t="shared" ref="S137" si="190">IFERROR(R137/M137,"")</f>
        <v>0.10255636510401496</v>
      </c>
      <c r="T137" s="539" t="s">
        <v>881</v>
      </c>
      <c r="U137" s="540">
        <f t="shared" si="139"/>
        <v>28037.75</v>
      </c>
      <c r="V137" s="714" t="s">
        <v>882</v>
      </c>
      <c r="W137" s="190"/>
    </row>
    <row r="138" spans="1:23" ht="40.5" customHeight="1" x14ac:dyDescent="0.3">
      <c r="A138" s="496"/>
      <c r="B138" s="697"/>
      <c r="C138" s="699"/>
      <c r="D138" s="701"/>
      <c r="E138" s="713"/>
      <c r="F138" s="704"/>
      <c r="G138" s="697"/>
      <c r="H138" s="69" t="s">
        <v>820</v>
      </c>
      <c r="I138" s="32">
        <f t="shared" si="178"/>
        <v>21852.521008403361</v>
      </c>
      <c r="J138" s="33">
        <f t="shared" si="170"/>
        <v>19.000000000000004</v>
      </c>
      <c r="K138" s="195">
        <v>26004.5</v>
      </c>
      <c r="L138" s="85">
        <f>IF(I138="","",(K138)*$G$137)</f>
        <v>26004.5</v>
      </c>
      <c r="M138" s="705"/>
      <c r="N138" s="707"/>
      <c r="O138" s="707"/>
      <c r="P138" s="25">
        <f t="shared" si="174"/>
        <v>26004.5</v>
      </c>
      <c r="Q138" s="544"/>
      <c r="R138" s="542"/>
      <c r="S138" s="545"/>
      <c r="T138" s="539"/>
      <c r="U138" s="540">
        <f t="shared" si="139"/>
        <v>0</v>
      </c>
      <c r="V138" s="715"/>
      <c r="W138" s="190"/>
    </row>
    <row r="139" spans="1:23" ht="40.5" customHeight="1" x14ac:dyDescent="0.3">
      <c r="A139" s="496">
        <v>68</v>
      </c>
      <c r="B139" s="697">
        <v>60101728</v>
      </c>
      <c r="C139" s="699" t="s">
        <v>1190</v>
      </c>
      <c r="D139" s="701" t="s">
        <v>1191</v>
      </c>
      <c r="E139" s="713" t="s">
        <v>79</v>
      </c>
      <c r="F139" s="704" t="s">
        <v>570</v>
      </c>
      <c r="G139" s="697">
        <v>1</v>
      </c>
      <c r="H139" s="69" t="s">
        <v>860</v>
      </c>
      <c r="I139" s="32">
        <f t="shared" si="178"/>
        <v>36905</v>
      </c>
      <c r="J139" s="33">
        <f t="shared" si="170"/>
        <v>18.999999999999993</v>
      </c>
      <c r="K139" s="195">
        <f>(36905*19%)+36905</f>
        <v>43916.95</v>
      </c>
      <c r="L139" s="85">
        <f>IF(I139="","",(K139)*$G$139)</f>
        <v>43916.95</v>
      </c>
      <c r="M139" s="705">
        <f t="shared" ref="M139" si="191">IFERROR(AVERAGE(L139:L140),"")</f>
        <v>77042.236249999987</v>
      </c>
      <c r="N139" s="707">
        <f t="shared" ref="N139" si="192">IFERROR(HARMEAN(L139:L140),"")</f>
        <v>62799.599450312882</v>
      </c>
      <c r="O139" s="707">
        <f t="shared" ref="O139" si="193">IFERROR(MEDIAN(L139:L140),"")</f>
        <v>77042.236249999987</v>
      </c>
      <c r="P139" s="25">
        <f t="shared" si="174"/>
        <v>43916.95</v>
      </c>
      <c r="Q139" s="544">
        <f t="shared" ref="Q139" si="194">IFERROR(SUM(P139:P140)/COUNTA(K139:K140),"")</f>
        <v>77042.236249999987</v>
      </c>
      <c r="R139" s="542">
        <f t="shared" ref="R139" si="195">IFERROR(_xlfn.STDEV.S(L139:L140),"")</f>
        <v>46846.229072241018</v>
      </c>
      <c r="S139" s="545">
        <f t="shared" ref="S139" si="196">IFERROR(R139/M139,"")</f>
        <v>0.60805905114470282</v>
      </c>
      <c r="T139" s="692" t="s">
        <v>2076</v>
      </c>
      <c r="U139" s="540">
        <f t="shared" si="139"/>
        <v>77042.236249999987</v>
      </c>
      <c r="V139" s="718" t="s">
        <v>1192</v>
      </c>
      <c r="W139" s="193" t="s">
        <v>1193</v>
      </c>
    </row>
    <row r="140" spans="1:23" ht="40.5" customHeight="1" x14ac:dyDescent="0.3">
      <c r="A140" s="496"/>
      <c r="B140" s="697"/>
      <c r="C140" s="699"/>
      <c r="D140" s="701"/>
      <c r="E140" s="713"/>
      <c r="F140" s="704"/>
      <c r="G140" s="697"/>
      <c r="H140" s="69" t="s">
        <v>1194</v>
      </c>
      <c r="I140" s="32">
        <f t="shared" si="178"/>
        <v>92577.75</v>
      </c>
      <c r="J140" s="33">
        <f t="shared" si="170"/>
        <v>18.999999999999993</v>
      </c>
      <c r="K140" s="195">
        <f>(92577.75*19%)+92577.75</f>
        <v>110167.52249999999</v>
      </c>
      <c r="L140" s="85">
        <f>IF(I140="","",(K140)*$G$139)</f>
        <v>110167.52249999999</v>
      </c>
      <c r="M140" s="705"/>
      <c r="N140" s="707"/>
      <c r="O140" s="707"/>
      <c r="P140" s="25">
        <f t="shared" si="174"/>
        <v>110167.52249999999</v>
      </c>
      <c r="Q140" s="544"/>
      <c r="R140" s="542"/>
      <c r="S140" s="545"/>
      <c r="T140" s="711"/>
      <c r="U140" s="540">
        <f t="shared" si="139"/>
        <v>0</v>
      </c>
      <c r="V140" s="719"/>
      <c r="W140" s="193" t="s">
        <v>1195</v>
      </c>
    </row>
    <row r="141" spans="1:23" ht="40.5" customHeight="1" x14ac:dyDescent="0.3">
      <c r="A141" s="496">
        <v>69</v>
      </c>
      <c r="B141" s="697">
        <v>60101728</v>
      </c>
      <c r="C141" s="699" t="s">
        <v>1196</v>
      </c>
      <c r="D141" s="701" t="s">
        <v>1197</v>
      </c>
      <c r="E141" s="713" t="s">
        <v>290</v>
      </c>
      <c r="F141" s="704" t="s">
        <v>1198</v>
      </c>
      <c r="G141" s="697">
        <v>1</v>
      </c>
      <c r="H141" s="69" t="s">
        <v>722</v>
      </c>
      <c r="I141" s="32">
        <f t="shared" si="178"/>
        <v>143999</v>
      </c>
      <c r="J141" s="33">
        <f t="shared" si="170"/>
        <v>18.999999999999996</v>
      </c>
      <c r="K141" s="195">
        <f>(143999*19%)+143999</f>
        <v>171358.81</v>
      </c>
      <c r="L141" s="85">
        <f>IF(I141="","",(K141)*$G$141)</f>
        <v>171358.81</v>
      </c>
      <c r="M141" s="705">
        <f t="shared" ref="M141" si="197">IFERROR(AVERAGE(L141:L142),"")</f>
        <v>138778.99</v>
      </c>
      <c r="N141" s="707">
        <f t="shared" ref="N141" si="198">IFERROR(HARMEAN(L141:L142),"")</f>
        <v>131130.53635991801</v>
      </c>
      <c r="O141" s="707">
        <f t="shared" ref="O141" si="199">IFERROR(MEDIAN(L141:L142),"")</f>
        <v>138778.99</v>
      </c>
      <c r="P141" s="25">
        <f t="shared" si="174"/>
        <v>171358.81</v>
      </c>
      <c r="Q141" s="544">
        <f t="shared" ref="Q141" si="200">IFERROR(SUM(P141:P142)/COUNTA(K141:K142),"")</f>
        <v>138778.99</v>
      </c>
      <c r="R141" s="542">
        <f t="shared" ref="R141" si="201">IFERROR(_xlfn.STDEV.S(L141:L142),"")</f>
        <v>46074.823303674268</v>
      </c>
      <c r="S141" s="545">
        <f t="shared" ref="S141" si="202">IFERROR(R141/M141,"")</f>
        <v>0.3320014312229414</v>
      </c>
      <c r="T141" s="692" t="s">
        <v>2076</v>
      </c>
      <c r="U141" s="540">
        <f t="shared" si="139"/>
        <v>138778.99</v>
      </c>
      <c r="V141" s="695" t="s">
        <v>1199</v>
      </c>
      <c r="W141" s="194" t="s">
        <v>1200</v>
      </c>
    </row>
    <row r="142" spans="1:23" ht="40.5" customHeight="1" x14ac:dyDescent="0.3">
      <c r="A142" s="496"/>
      <c r="B142" s="697"/>
      <c r="C142" s="699"/>
      <c r="D142" s="701"/>
      <c r="E142" s="713"/>
      <c r="F142" s="704"/>
      <c r="G142" s="697"/>
      <c r="H142" s="69" t="s">
        <v>831</v>
      </c>
      <c r="I142" s="32">
        <f t="shared" si="178"/>
        <v>89243</v>
      </c>
      <c r="J142" s="33">
        <f t="shared" si="170"/>
        <v>18.999999999999996</v>
      </c>
      <c r="K142" s="195">
        <f>(89243*19%)+89243</f>
        <v>106199.17</v>
      </c>
      <c r="L142" s="85">
        <f>IF(I142="","",(K142)*$G$141)</f>
        <v>106199.17</v>
      </c>
      <c r="M142" s="705"/>
      <c r="N142" s="707"/>
      <c r="O142" s="707"/>
      <c r="P142" s="25">
        <f t="shared" si="174"/>
        <v>106199.17</v>
      </c>
      <c r="Q142" s="544"/>
      <c r="R142" s="542"/>
      <c r="S142" s="545"/>
      <c r="T142" s="711"/>
      <c r="U142" s="540">
        <f t="shared" si="139"/>
        <v>0</v>
      </c>
      <c r="V142" s="712"/>
      <c r="W142" s="194" t="s">
        <v>1201</v>
      </c>
    </row>
    <row r="143" spans="1:23" ht="40.5" customHeight="1" x14ac:dyDescent="0.3">
      <c r="A143" s="496">
        <v>70</v>
      </c>
      <c r="B143" s="697">
        <v>60101728</v>
      </c>
      <c r="C143" s="699" t="s">
        <v>1202</v>
      </c>
      <c r="D143" s="701" t="s">
        <v>1203</v>
      </c>
      <c r="E143" s="669" t="s">
        <v>373</v>
      </c>
      <c r="F143" s="704" t="s">
        <v>1204</v>
      </c>
      <c r="G143" s="697">
        <v>1</v>
      </c>
      <c r="H143" s="69" t="s">
        <v>722</v>
      </c>
      <c r="I143" s="32">
        <f t="shared" si="178"/>
        <v>112057.00000000001</v>
      </c>
      <c r="J143" s="33">
        <f t="shared" si="170"/>
        <v>19</v>
      </c>
      <c r="K143" s="195">
        <f>(112057*19%)+112057</f>
        <v>133347.83000000002</v>
      </c>
      <c r="L143" s="85">
        <f>IF(I143="","",(K143)*$G$143)</f>
        <v>133347.83000000002</v>
      </c>
      <c r="M143" s="705">
        <f t="shared" ref="M143" si="203">IFERROR(AVERAGE(L143:L144),"")</f>
        <v>149914.41500000001</v>
      </c>
      <c r="N143" s="707">
        <f t="shared" ref="N143" si="204">IFERROR(HARMEAN(L143:L144),"")</f>
        <v>148083.69219350923</v>
      </c>
      <c r="O143" s="707">
        <f t="shared" ref="O143" si="205">IFERROR(MEDIAN(L143:L144),"")</f>
        <v>149914.41500000001</v>
      </c>
      <c r="P143" s="25">
        <f t="shared" si="174"/>
        <v>133347.83000000002</v>
      </c>
      <c r="Q143" s="544">
        <f t="shared" ref="Q143" si="206">IFERROR(SUM(P143:P144)/COUNTA(K143:K144),"")</f>
        <v>149914.41500000001</v>
      </c>
      <c r="R143" s="542">
        <f t="shared" ref="R143" si="207">IFERROR(_xlfn.STDEV.S(L143:L144),"")</f>
        <v>23428.689189206696</v>
      </c>
      <c r="S143" s="545">
        <f t="shared" ref="S143" si="208">IFERROR(R143/M143,"")</f>
        <v>0.15628042966519728</v>
      </c>
      <c r="T143" s="692" t="s">
        <v>2076</v>
      </c>
      <c r="U143" s="540">
        <f t="shared" si="139"/>
        <v>149914.41500000001</v>
      </c>
      <c r="V143" s="695" t="s">
        <v>1205</v>
      </c>
      <c r="W143" s="192" t="s">
        <v>1206</v>
      </c>
    </row>
    <row r="144" spans="1:23" ht="40.5" customHeight="1" x14ac:dyDescent="0.3">
      <c r="A144" s="496"/>
      <c r="B144" s="697"/>
      <c r="C144" s="699"/>
      <c r="D144" s="701"/>
      <c r="E144" s="669"/>
      <c r="F144" s="704"/>
      <c r="G144" s="697"/>
      <c r="H144" s="69" t="s">
        <v>1207</v>
      </c>
      <c r="I144" s="32">
        <f t="shared" si="178"/>
        <v>139900</v>
      </c>
      <c r="J144" s="33">
        <f t="shared" si="170"/>
        <v>19</v>
      </c>
      <c r="K144" s="195">
        <f>(139900*19%)+139900</f>
        <v>166481</v>
      </c>
      <c r="L144" s="85">
        <f>IF(I144="","",(K144)*$G$143)</f>
        <v>166481</v>
      </c>
      <c r="M144" s="705"/>
      <c r="N144" s="707"/>
      <c r="O144" s="707"/>
      <c r="P144" s="25">
        <f t="shared" si="174"/>
        <v>166481</v>
      </c>
      <c r="Q144" s="544"/>
      <c r="R144" s="542"/>
      <c r="S144" s="545"/>
      <c r="T144" s="711"/>
      <c r="U144" s="540">
        <f t="shared" si="139"/>
        <v>0</v>
      </c>
      <c r="V144" s="712"/>
      <c r="W144" s="192" t="s">
        <v>1208</v>
      </c>
    </row>
    <row r="145" spans="1:23" ht="40.5" customHeight="1" x14ac:dyDescent="0.3">
      <c r="A145" s="496">
        <v>71</v>
      </c>
      <c r="B145" s="697">
        <v>60101728</v>
      </c>
      <c r="C145" s="699" t="s">
        <v>1209</v>
      </c>
      <c r="D145" s="701" t="s">
        <v>1210</v>
      </c>
      <c r="E145" s="669" t="s">
        <v>373</v>
      </c>
      <c r="F145" s="704" t="s">
        <v>1211</v>
      </c>
      <c r="G145" s="697">
        <v>1</v>
      </c>
      <c r="H145" s="69" t="s">
        <v>831</v>
      </c>
      <c r="I145" s="32">
        <f t="shared" si="178"/>
        <v>74363</v>
      </c>
      <c r="J145" s="33">
        <f t="shared" si="170"/>
        <v>19</v>
      </c>
      <c r="K145" s="195">
        <f>(74363*19%)+74363</f>
        <v>88491.97</v>
      </c>
      <c r="L145" s="85">
        <f>IF(I145="","",(K145)*$G$145)</f>
        <v>88491.97</v>
      </c>
      <c r="M145" s="705">
        <f t="shared" ref="M145" si="209">IFERROR(AVERAGE(L145:L146),"")</f>
        <v>93691.675000000003</v>
      </c>
      <c r="N145" s="707">
        <f t="shared" ref="N145" si="210">IFERROR(HARMEAN(L145:L146),"")</f>
        <v>93403.10152656147</v>
      </c>
      <c r="O145" s="707">
        <f t="shared" ref="O145" si="211">IFERROR(MEDIAN(L145:L146),"")</f>
        <v>93691.675000000003</v>
      </c>
      <c r="P145" s="25">
        <f t="shared" si="174"/>
        <v>88491.97</v>
      </c>
      <c r="Q145" s="544">
        <f t="shared" ref="Q145" si="212">IFERROR(SUM(P145:P146)/COUNTA(K145:K146),"")</f>
        <v>93691.675000000003</v>
      </c>
      <c r="R145" s="542">
        <f t="shared" ref="R145" si="213">IFERROR(_xlfn.STDEV.S(L145:L146),"")</f>
        <v>7353.4933313391966</v>
      </c>
      <c r="S145" s="545">
        <f t="shared" ref="S145" si="214">IFERROR(R145/M145,"")</f>
        <v>7.8486091014374509E-2</v>
      </c>
      <c r="T145" s="692" t="s">
        <v>2076</v>
      </c>
      <c r="U145" s="540">
        <f t="shared" si="139"/>
        <v>93691.675000000003</v>
      </c>
      <c r="V145" s="718" t="s">
        <v>1212</v>
      </c>
      <c r="W145" s="192" t="s">
        <v>1213</v>
      </c>
    </row>
    <row r="146" spans="1:23" ht="40.5" customHeight="1" x14ac:dyDescent="0.3">
      <c r="A146" s="496"/>
      <c r="B146" s="697"/>
      <c r="C146" s="699"/>
      <c r="D146" s="701"/>
      <c r="E146" s="669"/>
      <c r="F146" s="704"/>
      <c r="G146" s="697"/>
      <c r="H146" s="69" t="s">
        <v>722</v>
      </c>
      <c r="I146" s="32">
        <f t="shared" si="178"/>
        <v>83102.000000000015</v>
      </c>
      <c r="J146" s="33">
        <f t="shared" si="170"/>
        <v>18.999999999999982</v>
      </c>
      <c r="K146" s="195">
        <f>(83102*19%)+83102</f>
        <v>98891.38</v>
      </c>
      <c r="L146" s="85">
        <f>IF(I146="","",(K146)*$G$145)</f>
        <v>98891.38</v>
      </c>
      <c r="M146" s="705"/>
      <c r="N146" s="707"/>
      <c r="O146" s="707"/>
      <c r="P146" s="25">
        <f t="shared" si="174"/>
        <v>98891.38</v>
      </c>
      <c r="Q146" s="544"/>
      <c r="R146" s="542"/>
      <c r="S146" s="545"/>
      <c r="T146" s="711"/>
      <c r="U146" s="540">
        <f t="shared" si="139"/>
        <v>0</v>
      </c>
      <c r="V146" s="719"/>
      <c r="W146" s="192" t="s">
        <v>1214</v>
      </c>
    </row>
    <row r="147" spans="1:23" ht="40.5" customHeight="1" x14ac:dyDescent="0.3">
      <c r="A147" s="496">
        <v>72</v>
      </c>
      <c r="B147" s="697">
        <v>60101728</v>
      </c>
      <c r="C147" s="699" t="s">
        <v>1215</v>
      </c>
      <c r="D147" s="701" t="s">
        <v>1216</v>
      </c>
      <c r="E147" s="669" t="s">
        <v>373</v>
      </c>
      <c r="F147" s="704" t="s">
        <v>1217</v>
      </c>
      <c r="G147" s="697">
        <v>1</v>
      </c>
      <c r="H147" s="69" t="s">
        <v>831</v>
      </c>
      <c r="I147" s="32">
        <f t="shared" si="178"/>
        <v>167363</v>
      </c>
      <c r="J147" s="33">
        <f t="shared" si="170"/>
        <v>19</v>
      </c>
      <c r="K147" s="195">
        <f>(167363*19%)+167363</f>
        <v>199161.97</v>
      </c>
      <c r="L147" s="85">
        <f>IF(I147="","",(K147)*$G$147)</f>
        <v>199161.97</v>
      </c>
      <c r="M147" s="705">
        <f t="shared" ref="M147" si="215">IFERROR(AVERAGE(L147:L148),"")</f>
        <v>266113.15500000003</v>
      </c>
      <c r="N147" s="707">
        <f t="shared" ref="N147" si="216">IFERROR(HARMEAN(L147:L148),"")</f>
        <v>249268.96263790422</v>
      </c>
      <c r="O147" s="707">
        <f t="shared" ref="O147" si="217">IFERROR(MEDIAN(L147:L148),"")</f>
        <v>266113.15500000003</v>
      </c>
      <c r="P147" s="25">
        <f t="shared" si="174"/>
        <v>199161.97</v>
      </c>
      <c r="Q147" s="544">
        <f t="shared" ref="Q147" si="218">IFERROR(SUM(P147:P148)/COUNTA(K147:K148),"")</f>
        <v>266113.15500000003</v>
      </c>
      <c r="R147" s="542">
        <f t="shared" ref="R147" si="219">IFERROR(_xlfn.STDEV.S(L147:L148),"")</f>
        <v>94683.273843949923</v>
      </c>
      <c r="S147" s="545">
        <f t="shared" ref="S147" si="220">IFERROR(R147/M147,"")</f>
        <v>0.35580080151975169</v>
      </c>
      <c r="T147" s="692" t="s">
        <v>2076</v>
      </c>
      <c r="U147" s="540">
        <f t="shared" si="139"/>
        <v>266113.15500000003</v>
      </c>
      <c r="V147" s="695" t="s">
        <v>1218</v>
      </c>
      <c r="W147" s="192" t="s">
        <v>1219</v>
      </c>
    </row>
    <row r="148" spans="1:23" ht="40.5" customHeight="1" x14ac:dyDescent="0.3">
      <c r="A148" s="496"/>
      <c r="B148" s="697"/>
      <c r="C148" s="699"/>
      <c r="D148" s="701"/>
      <c r="E148" s="669"/>
      <c r="F148" s="704"/>
      <c r="G148" s="697"/>
      <c r="H148" s="69" t="s">
        <v>1220</v>
      </c>
      <c r="I148" s="32">
        <f t="shared" si="178"/>
        <v>279886.00000000006</v>
      </c>
      <c r="J148" s="33">
        <f t="shared" si="170"/>
        <v>18.999999999999982</v>
      </c>
      <c r="K148" s="195">
        <f>(279886*19%)+279886</f>
        <v>333064.34000000003</v>
      </c>
      <c r="L148" s="85">
        <f>IF(I148="","",(K148)*$G$147)</f>
        <v>333064.34000000003</v>
      </c>
      <c r="M148" s="705"/>
      <c r="N148" s="707"/>
      <c r="O148" s="707"/>
      <c r="P148" s="25">
        <f t="shared" si="174"/>
        <v>333064.34000000003</v>
      </c>
      <c r="Q148" s="544"/>
      <c r="R148" s="542"/>
      <c r="S148" s="545"/>
      <c r="T148" s="711"/>
      <c r="U148" s="540">
        <f t="shared" si="139"/>
        <v>0</v>
      </c>
      <c r="V148" s="712"/>
      <c r="W148" s="192" t="s">
        <v>1221</v>
      </c>
    </row>
    <row r="149" spans="1:23" ht="40.5" customHeight="1" x14ac:dyDescent="0.3">
      <c r="A149" s="496">
        <v>73</v>
      </c>
      <c r="B149" s="697">
        <v>60101728</v>
      </c>
      <c r="C149" s="699" t="s">
        <v>1222</v>
      </c>
      <c r="D149" s="701" t="s">
        <v>1223</v>
      </c>
      <c r="E149" s="713" t="s">
        <v>79</v>
      </c>
      <c r="F149" s="704" t="s">
        <v>570</v>
      </c>
      <c r="G149" s="697">
        <v>1</v>
      </c>
      <c r="H149" s="69" t="s">
        <v>722</v>
      </c>
      <c r="I149" s="32">
        <f t="shared" si="178"/>
        <v>43489.000000000007</v>
      </c>
      <c r="J149" s="33">
        <f t="shared" si="170"/>
        <v>18.999999999999989</v>
      </c>
      <c r="K149" s="195">
        <f>(43489*19%)+43489</f>
        <v>51751.91</v>
      </c>
      <c r="L149" s="85">
        <f>IF(I149="","",(K149)*$G$149)</f>
        <v>51751.91</v>
      </c>
      <c r="M149" s="705">
        <f t="shared" ref="M149" si="221">IFERROR(AVERAGE(L149:L150),"")</f>
        <v>63972.020000000004</v>
      </c>
      <c r="N149" s="707">
        <f t="shared" ref="N149" si="222">IFERROR(HARMEAN(L149:L150),"")</f>
        <v>61637.701208564307</v>
      </c>
      <c r="O149" s="707">
        <f t="shared" ref="O149" si="223">IFERROR(MEDIAN(L149:L150),"")</f>
        <v>63972.020000000004</v>
      </c>
      <c r="P149" s="25">
        <f t="shared" si="174"/>
        <v>51751.91</v>
      </c>
      <c r="Q149" s="544">
        <f t="shared" ref="Q149" si="224">IFERROR(SUM(P149:P150)/COUNTA(K149:K150),"")</f>
        <v>63972.020000000004</v>
      </c>
      <c r="R149" s="542">
        <f t="shared" ref="R149" si="225">IFERROR(_xlfn.STDEV.S(L149:L150),"")</f>
        <v>17281.845295691073</v>
      </c>
      <c r="S149" s="545">
        <f t="shared" ref="S149" si="226">IFERROR(R149/M149,"")</f>
        <v>0.27014693760945913</v>
      </c>
      <c r="T149" s="692" t="s">
        <v>2076</v>
      </c>
      <c r="U149" s="540">
        <f t="shared" si="139"/>
        <v>63972.020000000004</v>
      </c>
      <c r="V149" s="695" t="s">
        <v>1224</v>
      </c>
      <c r="W149" s="192" t="s">
        <v>1225</v>
      </c>
    </row>
    <row r="150" spans="1:23" ht="40.5" customHeight="1" x14ac:dyDescent="0.3">
      <c r="A150" s="496"/>
      <c r="B150" s="697"/>
      <c r="C150" s="699"/>
      <c r="D150" s="701"/>
      <c r="E150" s="713"/>
      <c r="F150" s="704"/>
      <c r="G150" s="697"/>
      <c r="H150" s="69" t="s">
        <v>831</v>
      </c>
      <c r="I150" s="32">
        <f t="shared" si="178"/>
        <v>64027.000000000007</v>
      </c>
      <c r="J150" s="33">
        <f t="shared" si="170"/>
        <v>18.999999999999993</v>
      </c>
      <c r="K150" s="195">
        <f>(64027*19%)+64027</f>
        <v>76192.13</v>
      </c>
      <c r="L150" s="85">
        <f>IF(I150="","",(K150)*$G$149)</f>
        <v>76192.13</v>
      </c>
      <c r="M150" s="705"/>
      <c r="N150" s="707"/>
      <c r="O150" s="707"/>
      <c r="P150" s="25">
        <f t="shared" si="174"/>
        <v>76192.13</v>
      </c>
      <c r="Q150" s="544"/>
      <c r="R150" s="542"/>
      <c r="S150" s="545"/>
      <c r="T150" s="711"/>
      <c r="U150" s="540">
        <f t="shared" si="139"/>
        <v>0</v>
      </c>
      <c r="V150" s="712"/>
      <c r="W150" s="192" t="s">
        <v>1226</v>
      </c>
    </row>
    <row r="151" spans="1:23" ht="40.5" customHeight="1" x14ac:dyDescent="0.3">
      <c r="A151" s="496">
        <v>74</v>
      </c>
      <c r="B151" s="697">
        <v>60101728</v>
      </c>
      <c r="C151" s="699" t="s">
        <v>1227</v>
      </c>
      <c r="D151" s="701" t="s">
        <v>1228</v>
      </c>
      <c r="E151" s="669" t="s">
        <v>373</v>
      </c>
      <c r="F151" s="704" t="s">
        <v>1229</v>
      </c>
      <c r="G151" s="697">
        <v>1</v>
      </c>
      <c r="H151" s="69" t="s">
        <v>828</v>
      </c>
      <c r="I151" s="32">
        <f t="shared" si="178"/>
        <v>62900</v>
      </c>
      <c r="J151" s="33">
        <f t="shared" si="170"/>
        <v>19</v>
      </c>
      <c r="K151" s="195">
        <f>(62900*19%)+62900</f>
        <v>74851</v>
      </c>
      <c r="L151" s="85">
        <f>IF(I151="","",(K151)*$G$151)</f>
        <v>74851</v>
      </c>
      <c r="M151" s="705">
        <f t="shared" ref="M151" si="227">IFERROR(AVERAGE(L151:L152),"")</f>
        <v>73066</v>
      </c>
      <c r="N151" s="707">
        <f t="shared" ref="N151" si="228">IFERROR(HARMEAN(L151:L152),"")</f>
        <v>73022.392508143326</v>
      </c>
      <c r="O151" s="707">
        <f t="shared" ref="O151" si="229">IFERROR(MEDIAN(L151:L152),"")</f>
        <v>73066</v>
      </c>
      <c r="P151" s="25">
        <f t="shared" si="174"/>
        <v>74851</v>
      </c>
      <c r="Q151" s="544">
        <f t="shared" ref="Q151" si="230">IFERROR(SUM(P151:P152)/COUNTA(K151:K152),"")</f>
        <v>73066</v>
      </c>
      <c r="R151" s="542">
        <f t="shared" ref="R151" si="231">IFERROR(_xlfn.STDEV.S(L151:L152),"")</f>
        <v>2524.3712088359748</v>
      </c>
      <c r="S151" s="545">
        <f t="shared" ref="S151" si="232">IFERROR(R151/M151,"")</f>
        <v>3.4549191263186362E-2</v>
      </c>
      <c r="T151" s="692" t="s">
        <v>2076</v>
      </c>
      <c r="U151" s="540">
        <f t="shared" si="139"/>
        <v>73066</v>
      </c>
      <c r="V151" s="695" t="s">
        <v>1230</v>
      </c>
      <c r="W151" s="192" t="s">
        <v>1231</v>
      </c>
    </row>
    <row r="152" spans="1:23" ht="40.5" customHeight="1" x14ac:dyDescent="0.3">
      <c r="A152" s="496"/>
      <c r="B152" s="697"/>
      <c r="C152" s="699"/>
      <c r="D152" s="701"/>
      <c r="E152" s="669"/>
      <c r="F152" s="704"/>
      <c r="G152" s="697"/>
      <c r="H152" s="69" t="s">
        <v>1232</v>
      </c>
      <c r="I152" s="32">
        <f t="shared" si="178"/>
        <v>59900</v>
      </c>
      <c r="J152" s="33">
        <f t="shared" si="170"/>
        <v>19</v>
      </c>
      <c r="K152" s="195">
        <f>(59900*19%)+59900</f>
        <v>71281</v>
      </c>
      <c r="L152" s="85">
        <f>IF(I152="","",(K152)*$G$151)</f>
        <v>71281</v>
      </c>
      <c r="M152" s="705"/>
      <c r="N152" s="707"/>
      <c r="O152" s="707"/>
      <c r="P152" s="25">
        <f t="shared" si="174"/>
        <v>71281</v>
      </c>
      <c r="Q152" s="544"/>
      <c r="R152" s="542"/>
      <c r="S152" s="545"/>
      <c r="T152" s="711"/>
      <c r="U152" s="540">
        <f t="shared" si="139"/>
        <v>0</v>
      </c>
      <c r="V152" s="712"/>
      <c r="W152" s="192" t="s">
        <v>1233</v>
      </c>
    </row>
    <row r="153" spans="1:23" ht="40.5" customHeight="1" x14ac:dyDescent="0.3">
      <c r="A153" s="496">
        <v>75</v>
      </c>
      <c r="B153" s="697">
        <v>60101728</v>
      </c>
      <c r="C153" s="699" t="s">
        <v>1234</v>
      </c>
      <c r="D153" s="701" t="s">
        <v>1235</v>
      </c>
      <c r="E153" s="669" t="s">
        <v>373</v>
      </c>
      <c r="F153" s="704" t="s">
        <v>1236</v>
      </c>
      <c r="G153" s="697">
        <v>1</v>
      </c>
      <c r="H153" s="69" t="s">
        <v>722</v>
      </c>
      <c r="I153" s="32">
        <f t="shared" si="178"/>
        <v>40657</v>
      </c>
      <c r="J153" s="33">
        <f t="shared" si="170"/>
        <v>19.000000000000004</v>
      </c>
      <c r="K153" s="195">
        <f>(40657*19%)+40657</f>
        <v>48381.83</v>
      </c>
      <c r="L153" s="85">
        <f>IF(I153="","",(K153)*$G$153)</f>
        <v>48381.83</v>
      </c>
      <c r="M153" s="705">
        <f t="shared" ref="M153" si="233">IFERROR(AVERAGE(L153:L154),"")</f>
        <v>72863.700000000012</v>
      </c>
      <c r="N153" s="707">
        <f t="shared" ref="N153" si="234">IFERROR(HARMEAN(L153:L154),"")</f>
        <v>64637.903633676309</v>
      </c>
      <c r="O153" s="707">
        <f t="shared" ref="O153" si="235">IFERROR(MEDIAN(L153:L154),"")</f>
        <v>72863.700000000012</v>
      </c>
      <c r="P153" s="25">
        <f t="shared" si="174"/>
        <v>48381.83</v>
      </c>
      <c r="Q153" s="544">
        <f t="shared" ref="Q153" si="236">IFERROR(SUM(P153:P154)/COUNTA(K153:K154),"")</f>
        <v>72863.700000000012</v>
      </c>
      <c r="R153" s="542">
        <f t="shared" ref="R153" si="237">IFERROR(_xlfn.STDEV.S(L153:L154),"")</f>
        <v>34622.592586254963</v>
      </c>
      <c r="S153" s="545">
        <f t="shared" ref="S153" si="238">IFERROR(R153/M153,"")</f>
        <v>0.47516928986937196</v>
      </c>
      <c r="T153" s="692" t="s">
        <v>2076</v>
      </c>
      <c r="U153" s="540">
        <f t="shared" si="139"/>
        <v>72863.700000000012</v>
      </c>
      <c r="V153" s="695" t="s">
        <v>1237</v>
      </c>
      <c r="W153" s="192" t="s">
        <v>1238</v>
      </c>
    </row>
    <row r="154" spans="1:23" ht="40.5" customHeight="1" x14ac:dyDescent="0.3">
      <c r="A154" s="496"/>
      <c r="B154" s="697"/>
      <c r="C154" s="699"/>
      <c r="D154" s="701"/>
      <c r="E154" s="669"/>
      <c r="F154" s="704"/>
      <c r="G154" s="697"/>
      <c r="H154" s="69" t="s">
        <v>831</v>
      </c>
      <c r="I154" s="32">
        <f t="shared" si="178"/>
        <v>81803.000000000015</v>
      </c>
      <c r="J154" s="33">
        <f t="shared" si="170"/>
        <v>18.999999999999986</v>
      </c>
      <c r="K154" s="195">
        <f>(81803*19%)+81803</f>
        <v>97345.57</v>
      </c>
      <c r="L154" s="85">
        <f>IF(I154="","",(K154)*$G$153)</f>
        <v>97345.57</v>
      </c>
      <c r="M154" s="705"/>
      <c r="N154" s="707"/>
      <c r="O154" s="707"/>
      <c r="P154" s="25">
        <f t="shared" si="174"/>
        <v>97345.57</v>
      </c>
      <c r="Q154" s="544"/>
      <c r="R154" s="542"/>
      <c r="S154" s="545"/>
      <c r="T154" s="711"/>
      <c r="U154" s="540">
        <f t="shared" si="139"/>
        <v>0</v>
      </c>
      <c r="V154" s="712"/>
      <c r="W154" s="192" t="s">
        <v>1239</v>
      </c>
    </row>
    <row r="155" spans="1:23" ht="40.5" customHeight="1" x14ac:dyDescent="0.3">
      <c r="A155" s="496">
        <v>76</v>
      </c>
      <c r="B155" s="697">
        <v>60101728</v>
      </c>
      <c r="C155" s="699" t="s">
        <v>1240</v>
      </c>
      <c r="D155" s="701" t="s">
        <v>1241</v>
      </c>
      <c r="E155" s="713" t="s">
        <v>290</v>
      </c>
      <c r="F155" s="704" t="s">
        <v>1242</v>
      </c>
      <c r="G155" s="697">
        <v>1</v>
      </c>
      <c r="H155" s="69" t="s">
        <v>1243</v>
      </c>
      <c r="I155" s="32">
        <f t="shared" si="178"/>
        <v>198000</v>
      </c>
      <c r="J155" s="33">
        <f t="shared" si="170"/>
        <v>19</v>
      </c>
      <c r="K155" s="195">
        <f>(198000*19%)+198000</f>
        <v>235620</v>
      </c>
      <c r="L155" s="85">
        <f>IF(I155="","",(K155)*$G$155)</f>
        <v>235620</v>
      </c>
      <c r="M155" s="705">
        <f t="shared" ref="M155" si="239">IFERROR(AVERAGE(L155:L156),"")</f>
        <v>235620.595</v>
      </c>
      <c r="N155" s="707">
        <f t="shared" ref="N155" si="240">IFERROR(HARMEAN(L155:L156),"")</f>
        <v>235620.59499849749</v>
      </c>
      <c r="O155" s="707">
        <f t="shared" ref="O155" si="241">IFERROR(MEDIAN(L155:L156),"")</f>
        <v>235620.595</v>
      </c>
      <c r="P155" s="25">
        <f t="shared" si="174"/>
        <v>235620</v>
      </c>
      <c r="Q155" s="544">
        <f t="shared" ref="Q155" si="242">IFERROR(SUM(P155:P156)/COUNTA(K155:K156),"")</f>
        <v>235620.595</v>
      </c>
      <c r="R155" s="542">
        <f t="shared" ref="R155" si="243">IFERROR(_xlfn.STDEV.S(L155:L156),"")</f>
        <v>0.84145706961363786</v>
      </c>
      <c r="S155" s="545">
        <f t="shared" ref="S155" si="244">IFERROR(R155/M155,"")</f>
        <v>3.5712373513598754E-6</v>
      </c>
      <c r="T155" s="692" t="s">
        <v>2076</v>
      </c>
      <c r="U155" s="540">
        <f t="shared" si="139"/>
        <v>235620.595</v>
      </c>
      <c r="V155" s="695" t="s">
        <v>1244</v>
      </c>
      <c r="W155" s="192" t="s">
        <v>1245</v>
      </c>
    </row>
    <row r="156" spans="1:23" ht="40.5" customHeight="1" x14ac:dyDescent="0.3">
      <c r="A156" s="496"/>
      <c r="B156" s="697"/>
      <c r="C156" s="699"/>
      <c r="D156" s="701"/>
      <c r="E156" s="713"/>
      <c r="F156" s="704"/>
      <c r="G156" s="697"/>
      <c r="H156" s="69" t="s">
        <v>980</v>
      </c>
      <c r="I156" s="32">
        <f t="shared" si="178"/>
        <v>198001</v>
      </c>
      <c r="J156" s="33">
        <f t="shared" si="170"/>
        <v>19</v>
      </c>
      <c r="K156" s="195">
        <f>(198001*19%)+198001</f>
        <v>235621.19</v>
      </c>
      <c r="L156" s="85">
        <f>IF(I156="","",(K156)*$G$155)</f>
        <v>235621.19</v>
      </c>
      <c r="M156" s="705"/>
      <c r="N156" s="707"/>
      <c r="O156" s="707"/>
      <c r="P156" s="25">
        <f t="shared" si="174"/>
        <v>235621.19</v>
      </c>
      <c r="Q156" s="544"/>
      <c r="R156" s="542"/>
      <c r="S156" s="545"/>
      <c r="T156" s="711"/>
      <c r="U156" s="540">
        <f t="shared" si="139"/>
        <v>0</v>
      </c>
      <c r="V156" s="712"/>
      <c r="W156" s="192" t="s">
        <v>1246</v>
      </c>
    </row>
    <row r="157" spans="1:23" ht="40.5" customHeight="1" x14ac:dyDescent="0.3">
      <c r="A157" s="496">
        <v>77</v>
      </c>
      <c r="B157" s="697">
        <v>60101728</v>
      </c>
      <c r="C157" s="699" t="s">
        <v>1247</v>
      </c>
      <c r="D157" s="701" t="s">
        <v>1248</v>
      </c>
      <c r="E157" s="669" t="s">
        <v>373</v>
      </c>
      <c r="F157" s="704" t="s">
        <v>1249</v>
      </c>
      <c r="G157" s="697">
        <v>1</v>
      </c>
      <c r="H157" s="69" t="s">
        <v>722</v>
      </c>
      <c r="I157" s="32">
        <f t="shared" si="178"/>
        <v>235406.00000000003</v>
      </c>
      <c r="J157" s="33">
        <f t="shared" si="170"/>
        <v>18.999999999999993</v>
      </c>
      <c r="K157" s="195">
        <f>(235406*19%)+235406</f>
        <v>280133.14</v>
      </c>
      <c r="L157" s="85">
        <f>IF(I157="","",(K157)*$G$157)</f>
        <v>280133.14</v>
      </c>
      <c r="M157" s="705">
        <f t="shared" ref="M157" si="245">IFERROR(AVERAGE(L157:L158),"")</f>
        <v>226145.815</v>
      </c>
      <c r="N157" s="707">
        <f t="shared" ref="N157" si="246">IFERROR(HARMEAN(L157:L158),"")</f>
        <v>213257.53201030317</v>
      </c>
      <c r="O157" s="707">
        <f t="shared" ref="O157" si="247">IFERROR(MEDIAN(L157:L158),"")</f>
        <v>226145.815</v>
      </c>
      <c r="P157" s="25">
        <f t="shared" si="174"/>
        <v>280133.14</v>
      </c>
      <c r="Q157" s="544">
        <f t="shared" ref="Q157" si="248">IFERROR(SUM(P157:P158)/COUNTA(K157:K158),"")</f>
        <v>226145.815</v>
      </c>
      <c r="R157" s="542">
        <f t="shared" ref="R157" si="249">IFERROR(_xlfn.STDEV.S(L157:L158),"")</f>
        <v>76349.607211244045</v>
      </c>
      <c r="S157" s="545">
        <f t="shared" ref="S157" si="250">IFERROR(R157/M157,"")</f>
        <v>0.3376122932509012</v>
      </c>
      <c r="T157" s="692" t="s">
        <v>2076</v>
      </c>
      <c r="U157" s="540">
        <f t="shared" si="139"/>
        <v>226145.815</v>
      </c>
      <c r="V157" s="695" t="s">
        <v>1250</v>
      </c>
      <c r="W157" s="192" t="s">
        <v>1251</v>
      </c>
    </row>
    <row r="158" spans="1:23" ht="40.5" customHeight="1" x14ac:dyDescent="0.3">
      <c r="A158" s="496"/>
      <c r="B158" s="697"/>
      <c r="C158" s="699"/>
      <c r="D158" s="701"/>
      <c r="E158" s="669"/>
      <c r="F158" s="704"/>
      <c r="G158" s="697"/>
      <c r="H158" s="69" t="s">
        <v>831</v>
      </c>
      <c r="I158" s="32">
        <f t="shared" si="178"/>
        <v>144671</v>
      </c>
      <c r="J158" s="33">
        <f t="shared" si="170"/>
        <v>18.999999999999993</v>
      </c>
      <c r="K158" s="195">
        <f>(144671*19%)+144671</f>
        <v>172158.49</v>
      </c>
      <c r="L158" s="85">
        <f>IF(I158="","",(K158)*$G$157)</f>
        <v>172158.49</v>
      </c>
      <c r="M158" s="705"/>
      <c r="N158" s="707"/>
      <c r="O158" s="707"/>
      <c r="P158" s="25">
        <f t="shared" si="174"/>
        <v>172158.49</v>
      </c>
      <c r="Q158" s="544"/>
      <c r="R158" s="542"/>
      <c r="S158" s="545"/>
      <c r="T158" s="711"/>
      <c r="U158" s="540">
        <f t="shared" si="139"/>
        <v>0</v>
      </c>
      <c r="V158" s="712"/>
      <c r="W158" s="192" t="s">
        <v>1252</v>
      </c>
    </row>
    <row r="159" spans="1:23" ht="40.5" customHeight="1" x14ac:dyDescent="0.3">
      <c r="A159" s="496">
        <v>78</v>
      </c>
      <c r="B159" s="697">
        <v>60101728</v>
      </c>
      <c r="C159" s="699" t="s">
        <v>1253</v>
      </c>
      <c r="D159" s="701" t="s">
        <v>1254</v>
      </c>
      <c r="E159" s="669" t="s">
        <v>373</v>
      </c>
      <c r="F159" s="704" t="s">
        <v>1255</v>
      </c>
      <c r="G159" s="697">
        <v>1</v>
      </c>
      <c r="H159" s="69" t="s">
        <v>831</v>
      </c>
      <c r="I159" s="32">
        <f t="shared" si="178"/>
        <v>148763</v>
      </c>
      <c r="J159" s="33">
        <f t="shared" si="170"/>
        <v>19</v>
      </c>
      <c r="K159" s="195">
        <f>(148763*19%)+148763</f>
        <v>177027.97</v>
      </c>
      <c r="L159" s="85">
        <f>IF(I159="","",(K159)*$G$159)</f>
        <v>177027.97</v>
      </c>
      <c r="M159" s="705">
        <f t="shared" ref="M159" si="251">IFERROR(AVERAGE(L159:L160),"")</f>
        <v>237853.03499999997</v>
      </c>
      <c r="N159" s="707">
        <f t="shared" ref="N159" si="252">IFERROR(HARMEAN(L159:L160),"")</f>
        <v>222298.5202877777</v>
      </c>
      <c r="O159" s="707">
        <f t="shared" ref="O159" si="253">IFERROR(MEDIAN(L159:L160),"")</f>
        <v>237853.03499999997</v>
      </c>
      <c r="P159" s="25">
        <f t="shared" si="174"/>
        <v>177027.97</v>
      </c>
      <c r="Q159" s="544">
        <f t="shared" ref="Q159" si="254">IFERROR(SUM(P159:P160)/COUNTA(K159:K160),"")</f>
        <v>237853.03499999997</v>
      </c>
      <c r="R159" s="542">
        <f t="shared" ref="R159" si="255">IFERROR(_xlfn.STDEV.S(L159:L160),"")</f>
        <v>86019.631855225074</v>
      </c>
      <c r="S159" s="545">
        <f t="shared" ref="S159" si="256">IFERROR(R159/M159,"")</f>
        <v>0.36165034368901405</v>
      </c>
      <c r="T159" s="692" t="s">
        <v>2076</v>
      </c>
      <c r="U159" s="540">
        <f t="shared" si="139"/>
        <v>237853.03499999997</v>
      </c>
      <c r="V159" s="695" t="s">
        <v>1256</v>
      </c>
      <c r="W159" s="192" t="s">
        <v>1257</v>
      </c>
    </row>
    <row r="160" spans="1:23" ht="40.5" customHeight="1" x14ac:dyDescent="0.3">
      <c r="A160" s="496"/>
      <c r="B160" s="697"/>
      <c r="C160" s="699"/>
      <c r="D160" s="701"/>
      <c r="E160" s="669"/>
      <c r="F160" s="704"/>
      <c r="G160" s="697"/>
      <c r="H160" s="69" t="s">
        <v>722</v>
      </c>
      <c r="I160" s="32">
        <f t="shared" si="178"/>
        <v>250990</v>
      </c>
      <c r="J160" s="33">
        <f t="shared" si="170"/>
        <v>18.999999999999993</v>
      </c>
      <c r="K160" s="195">
        <f>(250990*19%)+250990</f>
        <v>298678.09999999998</v>
      </c>
      <c r="L160" s="85">
        <f>IF(I160="","",(K160)*$G$159)</f>
        <v>298678.09999999998</v>
      </c>
      <c r="M160" s="705"/>
      <c r="N160" s="707"/>
      <c r="O160" s="707"/>
      <c r="P160" s="25">
        <f t="shared" si="174"/>
        <v>298678.09999999998</v>
      </c>
      <c r="Q160" s="544"/>
      <c r="R160" s="542"/>
      <c r="S160" s="545"/>
      <c r="T160" s="711"/>
      <c r="U160" s="540">
        <f t="shared" si="139"/>
        <v>0</v>
      </c>
      <c r="V160" s="712"/>
      <c r="W160" s="192" t="s">
        <v>1258</v>
      </c>
    </row>
    <row r="161" spans="1:23" ht="40.5" customHeight="1" x14ac:dyDescent="0.3">
      <c r="A161" s="496">
        <v>79</v>
      </c>
      <c r="B161" s="697">
        <v>60101728</v>
      </c>
      <c r="C161" s="699" t="s">
        <v>1259</v>
      </c>
      <c r="D161" s="701" t="s">
        <v>1260</v>
      </c>
      <c r="E161" s="713" t="s">
        <v>290</v>
      </c>
      <c r="F161" s="704" t="s">
        <v>1242</v>
      </c>
      <c r="G161" s="697">
        <v>1</v>
      </c>
      <c r="H161" s="69" t="s">
        <v>1261</v>
      </c>
      <c r="I161" s="32">
        <f t="shared" si="178"/>
        <v>23900</v>
      </c>
      <c r="J161" s="33">
        <f t="shared" si="170"/>
        <v>19</v>
      </c>
      <c r="K161" s="195">
        <f>(23900*19%)+23900</f>
        <v>28441</v>
      </c>
      <c r="L161" s="85">
        <f>IF(I161="","",(K161)*$G$161)</f>
        <v>28441</v>
      </c>
      <c r="M161" s="705">
        <f t="shared" ref="M161" si="257">IFERROR(AVERAGE(L161:L162),"")</f>
        <v>27251</v>
      </c>
      <c r="N161" s="707">
        <f t="shared" ref="N161" si="258">IFERROR(HARMEAN(L161:L162),"")</f>
        <v>27199.034934497817</v>
      </c>
      <c r="O161" s="707">
        <f t="shared" ref="O161" si="259">IFERROR(MEDIAN(L161:L162),"")</f>
        <v>27251</v>
      </c>
      <c r="P161" s="25">
        <f t="shared" si="174"/>
        <v>28441</v>
      </c>
      <c r="Q161" s="544">
        <f t="shared" ref="Q161" si="260">IFERROR(SUM(P161:P162)/COUNTA(K161:K162),"")</f>
        <v>27251</v>
      </c>
      <c r="R161" s="542">
        <f t="shared" ref="R161" si="261">IFERROR(_xlfn.STDEV.S(L161:L162),"")</f>
        <v>1682.9141392239831</v>
      </c>
      <c r="S161" s="545">
        <f t="shared" ref="S161" si="262">IFERROR(R161/M161,"")</f>
        <v>6.1756050758650434E-2</v>
      </c>
      <c r="T161" s="692" t="s">
        <v>2076</v>
      </c>
      <c r="U161" s="540">
        <f t="shared" si="139"/>
        <v>27251</v>
      </c>
      <c r="V161" s="695" t="s">
        <v>1262</v>
      </c>
      <c r="W161" s="192" t="s">
        <v>1263</v>
      </c>
    </row>
    <row r="162" spans="1:23" ht="40.5" customHeight="1" x14ac:dyDescent="0.3">
      <c r="A162" s="496"/>
      <c r="B162" s="697"/>
      <c r="C162" s="699"/>
      <c r="D162" s="701"/>
      <c r="E162" s="713"/>
      <c r="F162" s="704"/>
      <c r="G162" s="697"/>
      <c r="H162" s="69" t="s">
        <v>1264</v>
      </c>
      <c r="I162" s="32">
        <f t="shared" si="178"/>
        <v>21900</v>
      </c>
      <c r="J162" s="33">
        <f t="shared" si="170"/>
        <v>19</v>
      </c>
      <c r="K162" s="195">
        <f>(21900*19%)+21900</f>
        <v>26061</v>
      </c>
      <c r="L162" s="85">
        <f>IF(I162="","",(K162)*$G$161)</f>
        <v>26061</v>
      </c>
      <c r="M162" s="705"/>
      <c r="N162" s="707"/>
      <c r="O162" s="707"/>
      <c r="P162" s="25">
        <f t="shared" si="174"/>
        <v>26061</v>
      </c>
      <c r="Q162" s="544"/>
      <c r="R162" s="542"/>
      <c r="S162" s="545"/>
      <c r="T162" s="711"/>
      <c r="U162" s="540">
        <f t="shared" si="139"/>
        <v>0</v>
      </c>
      <c r="V162" s="712"/>
      <c r="W162" s="192" t="s">
        <v>1265</v>
      </c>
    </row>
    <row r="163" spans="1:23" ht="40.5" customHeight="1" x14ac:dyDescent="0.25">
      <c r="A163" s="496">
        <v>80</v>
      </c>
      <c r="B163" s="697">
        <v>60141101</v>
      </c>
      <c r="C163" s="699" t="s">
        <v>1266</v>
      </c>
      <c r="D163" s="701" t="s">
        <v>1267</v>
      </c>
      <c r="E163" s="713" t="s">
        <v>79</v>
      </c>
      <c r="F163" s="704" t="s">
        <v>79</v>
      </c>
      <c r="G163" s="697">
        <v>1</v>
      </c>
      <c r="H163" s="69" t="s">
        <v>874</v>
      </c>
      <c r="I163" s="32">
        <f t="shared" si="178"/>
        <v>149463.8655462185</v>
      </c>
      <c r="J163" s="33">
        <f t="shared" si="170"/>
        <v>18.999999999999993</v>
      </c>
      <c r="K163" s="195">
        <v>177862</v>
      </c>
      <c r="L163" s="85">
        <f>IF(I163="","",(K163)*$G$163)</f>
        <v>177862</v>
      </c>
      <c r="M163" s="705">
        <f t="shared" ref="M163" si="263">IFERROR(AVERAGE(L163:L164),"")</f>
        <v>128750.185</v>
      </c>
      <c r="N163" s="707">
        <f t="shared" ref="N163" si="264">IFERROR(HARMEAN(L163:L164),"")</f>
        <v>110016.4614516088</v>
      </c>
      <c r="O163" s="707">
        <f t="shared" ref="O163" si="265">IFERROR(MEDIAN(L163:L164),"")</f>
        <v>128750.185</v>
      </c>
      <c r="P163" s="25">
        <f t="shared" si="174"/>
        <v>177862</v>
      </c>
      <c r="Q163" s="544">
        <f t="shared" ref="Q163" si="266">IFERROR(SUM(P163:P164)/COUNTA(K163:K164),"")</f>
        <v>128750.185</v>
      </c>
      <c r="R163" s="542">
        <f t="shared" ref="R163" si="267">IFERROR(_xlfn.STDEV.S(L163:L164),"")</f>
        <v>69454.594845758402</v>
      </c>
      <c r="S163" s="545">
        <f t="shared" ref="S163" si="268">IFERROR(R163/M163,"")</f>
        <v>0.5394523887150795</v>
      </c>
      <c r="T163" s="539" t="s">
        <v>2075</v>
      </c>
      <c r="U163" s="540">
        <f t="shared" si="139"/>
        <v>128750.185</v>
      </c>
      <c r="V163" s="695" t="s">
        <v>1268</v>
      </c>
      <c r="W163" s="189" t="s">
        <v>876</v>
      </c>
    </row>
    <row r="164" spans="1:23" ht="40.5" customHeight="1" x14ac:dyDescent="0.3">
      <c r="A164" s="496"/>
      <c r="B164" s="697"/>
      <c r="C164" s="699"/>
      <c r="D164" s="701"/>
      <c r="E164" s="713"/>
      <c r="F164" s="704"/>
      <c r="G164" s="697"/>
      <c r="H164" s="69" t="s">
        <v>831</v>
      </c>
      <c r="I164" s="32">
        <f t="shared" si="178"/>
        <v>66923</v>
      </c>
      <c r="J164" s="33">
        <f t="shared" si="170"/>
        <v>18.999999999999993</v>
      </c>
      <c r="K164" s="195">
        <f>(66923*19%)+66923</f>
        <v>79638.37</v>
      </c>
      <c r="L164" s="85">
        <f>IF(I164="","",(K164)*$G$163)</f>
        <v>79638.37</v>
      </c>
      <c r="M164" s="705"/>
      <c r="N164" s="707"/>
      <c r="O164" s="707"/>
      <c r="P164" s="25">
        <f t="shared" si="174"/>
        <v>79638.37</v>
      </c>
      <c r="Q164" s="544"/>
      <c r="R164" s="542"/>
      <c r="S164" s="545"/>
      <c r="T164" s="539"/>
      <c r="U164" s="540">
        <f t="shared" si="139"/>
        <v>0</v>
      </c>
      <c r="V164" s="712"/>
      <c r="W164" s="192" t="s">
        <v>1269</v>
      </c>
    </row>
    <row r="165" spans="1:23" ht="40.5" customHeight="1" x14ac:dyDescent="0.3">
      <c r="A165" s="496">
        <v>81</v>
      </c>
      <c r="B165" s="697">
        <v>60101728</v>
      </c>
      <c r="C165" s="699" t="s">
        <v>1270</v>
      </c>
      <c r="D165" s="701" t="s">
        <v>1271</v>
      </c>
      <c r="E165" s="713" t="s">
        <v>290</v>
      </c>
      <c r="F165" s="704" t="s">
        <v>1242</v>
      </c>
      <c r="G165" s="697">
        <v>1</v>
      </c>
      <c r="H165" s="69" t="s">
        <v>831</v>
      </c>
      <c r="I165" s="32">
        <f t="shared" si="178"/>
        <v>92963</v>
      </c>
      <c r="J165" s="33">
        <f t="shared" si="170"/>
        <v>19</v>
      </c>
      <c r="K165" s="195">
        <f>(92963*19%)+92963</f>
        <v>110625.97</v>
      </c>
      <c r="L165" s="85">
        <f>IF(I165="","",(K165)*$G$165)</f>
        <v>110625.97</v>
      </c>
      <c r="M165" s="705">
        <f t="shared" ref="M165" si="269">IFERROR(AVERAGE(L165:L166),"")</f>
        <v>166421.5</v>
      </c>
      <c r="N165" s="707">
        <f t="shared" ref="N165" si="270">IFERROR(HARMEAN(L165:L166),"")</f>
        <v>147715.13593056847</v>
      </c>
      <c r="O165" s="707">
        <f t="shared" ref="O165" si="271">IFERROR(MEDIAN(L165:L166),"")</f>
        <v>166421.5</v>
      </c>
      <c r="P165" s="25">
        <f t="shared" si="174"/>
        <v>110625.97</v>
      </c>
      <c r="Q165" s="544">
        <f t="shared" ref="Q165" si="272">IFERROR(SUM(P165:P166)/COUNTA(K165:K166),"")</f>
        <v>166421.5</v>
      </c>
      <c r="R165" s="542">
        <f t="shared" ref="R165" si="273">IFERROR(_xlfn.STDEV.S(L165:L166),"")</f>
        <v>78906.7952457949</v>
      </c>
      <c r="S165" s="545">
        <f t="shared" ref="S165" si="274">IFERROR(R165/M165,"")</f>
        <v>0.47413822880934797</v>
      </c>
      <c r="T165" s="692" t="s">
        <v>2076</v>
      </c>
      <c r="U165" s="540">
        <f t="shared" si="139"/>
        <v>166421.5</v>
      </c>
      <c r="V165" s="695" t="s">
        <v>1272</v>
      </c>
      <c r="W165" s="192" t="s">
        <v>1273</v>
      </c>
    </row>
    <row r="166" spans="1:23" ht="40.5" customHeight="1" x14ac:dyDescent="0.3">
      <c r="A166" s="496"/>
      <c r="B166" s="697"/>
      <c r="C166" s="699"/>
      <c r="D166" s="701"/>
      <c r="E166" s="713"/>
      <c r="F166" s="704"/>
      <c r="G166" s="697"/>
      <c r="H166" s="69" t="s">
        <v>722</v>
      </c>
      <c r="I166" s="32">
        <f t="shared" si="178"/>
        <v>186737</v>
      </c>
      <c r="J166" s="33">
        <f t="shared" si="170"/>
        <v>19</v>
      </c>
      <c r="K166" s="195">
        <f>(186737*19%)+186737</f>
        <v>222217.03</v>
      </c>
      <c r="L166" s="85">
        <f>IF(I166="","",(K166)*$G$165)</f>
        <v>222217.03</v>
      </c>
      <c r="M166" s="705"/>
      <c r="N166" s="707"/>
      <c r="O166" s="707"/>
      <c r="P166" s="25">
        <f t="shared" si="174"/>
        <v>222217.03</v>
      </c>
      <c r="Q166" s="544"/>
      <c r="R166" s="542"/>
      <c r="S166" s="545"/>
      <c r="T166" s="711"/>
      <c r="U166" s="540">
        <f t="shared" si="139"/>
        <v>0</v>
      </c>
      <c r="V166" s="712"/>
      <c r="W166" s="192" t="s">
        <v>1274</v>
      </c>
    </row>
    <row r="167" spans="1:23" ht="40.5" customHeight="1" x14ac:dyDescent="0.3">
      <c r="A167" s="496">
        <v>82</v>
      </c>
      <c r="B167" s="697">
        <v>60101728</v>
      </c>
      <c r="C167" s="699" t="s">
        <v>1275</v>
      </c>
      <c r="D167" s="701" t="s">
        <v>1276</v>
      </c>
      <c r="E167" s="713" t="s">
        <v>290</v>
      </c>
      <c r="F167" s="704" t="s">
        <v>1242</v>
      </c>
      <c r="G167" s="697">
        <v>1</v>
      </c>
      <c r="H167" s="69" t="s">
        <v>722</v>
      </c>
      <c r="I167" s="32">
        <f t="shared" si="178"/>
        <v>92158.000000000015</v>
      </c>
      <c r="J167" s="33">
        <f t="shared" si="170"/>
        <v>18.999999999999986</v>
      </c>
      <c r="K167" s="195">
        <f>(92158*19%)+92158</f>
        <v>109668.02</v>
      </c>
      <c r="L167" s="85">
        <f>IF(I167="","",(K167)*$G$167)</f>
        <v>109668.02</v>
      </c>
      <c r="M167" s="705">
        <f t="shared" ref="M167" si="275">IFERROR(AVERAGE(L167:L168),"")</f>
        <v>131071.36000000002</v>
      </c>
      <c r="N167" s="707">
        <f t="shared" ref="N167" si="276">IFERROR(HARMEAN(L167:L168),"")</f>
        <v>127576.29469240268</v>
      </c>
      <c r="O167" s="707">
        <f t="shared" ref="O167" si="277">IFERROR(MEDIAN(L167:L168),"")</f>
        <v>131071.36000000002</v>
      </c>
      <c r="P167" s="25">
        <f t="shared" si="174"/>
        <v>109668.02</v>
      </c>
      <c r="Q167" s="544">
        <f t="shared" ref="Q167" si="278">IFERROR(SUM(P167:P168)/COUNTA(K167:K168),"")</f>
        <v>131071.36000000002</v>
      </c>
      <c r="R167" s="542">
        <f t="shared" ref="R167" si="279">IFERROR(_xlfn.STDEV.S(L167:L168),"")</f>
        <v>30268.893708082611</v>
      </c>
      <c r="S167" s="545">
        <f t="shared" ref="S167" si="280">IFERROR(R167/M167,"")</f>
        <v>0.23093445973309965</v>
      </c>
      <c r="T167" s="692" t="s">
        <v>2076</v>
      </c>
      <c r="U167" s="540">
        <f t="shared" si="139"/>
        <v>131071.36000000002</v>
      </c>
      <c r="V167" s="695" t="s">
        <v>1277</v>
      </c>
      <c r="W167" s="192" t="s">
        <v>1278</v>
      </c>
    </row>
    <row r="168" spans="1:23" ht="40.5" customHeight="1" x14ac:dyDescent="0.3">
      <c r="A168" s="496"/>
      <c r="B168" s="697"/>
      <c r="C168" s="699"/>
      <c r="D168" s="701"/>
      <c r="E168" s="713"/>
      <c r="F168" s="704"/>
      <c r="G168" s="697"/>
      <c r="H168" s="69" t="s">
        <v>1279</v>
      </c>
      <c r="I168" s="32">
        <f t="shared" si="178"/>
        <v>128130.00000000001</v>
      </c>
      <c r="J168" s="33">
        <f t="shared" si="170"/>
        <v>18.999999999999993</v>
      </c>
      <c r="K168" s="195">
        <f>(128130*19%)+128130</f>
        <v>152474.70000000001</v>
      </c>
      <c r="L168" s="85">
        <f>IF(I168="","",(K168)*$G$167)</f>
        <v>152474.70000000001</v>
      </c>
      <c r="M168" s="705"/>
      <c r="N168" s="707"/>
      <c r="O168" s="707"/>
      <c r="P168" s="25">
        <f t="shared" si="174"/>
        <v>152474.70000000001</v>
      </c>
      <c r="Q168" s="544"/>
      <c r="R168" s="542"/>
      <c r="S168" s="545"/>
      <c r="T168" s="711"/>
      <c r="U168" s="540">
        <f t="shared" si="139"/>
        <v>0</v>
      </c>
      <c r="V168" s="712"/>
      <c r="W168" s="192" t="s">
        <v>1280</v>
      </c>
    </row>
    <row r="169" spans="1:23" ht="40.5" customHeight="1" x14ac:dyDescent="0.3">
      <c r="A169" s="496">
        <v>83</v>
      </c>
      <c r="B169" s="697">
        <v>60101728</v>
      </c>
      <c r="C169" s="699" t="s">
        <v>1281</v>
      </c>
      <c r="D169" s="701" t="s">
        <v>1282</v>
      </c>
      <c r="E169" s="669" t="s">
        <v>373</v>
      </c>
      <c r="F169" s="704" t="s">
        <v>1229</v>
      </c>
      <c r="G169" s="697">
        <v>1</v>
      </c>
      <c r="H169" s="69" t="s">
        <v>1283</v>
      </c>
      <c r="I169" s="32">
        <f t="shared" si="178"/>
        <v>99000</v>
      </c>
      <c r="J169" s="33">
        <f t="shared" si="170"/>
        <v>19</v>
      </c>
      <c r="K169" s="195">
        <f>(99000*19%)+99000</f>
        <v>117810</v>
      </c>
      <c r="L169" s="85">
        <f>IF(I169="","",(K169)*$G$169)</f>
        <v>117810</v>
      </c>
      <c r="M169" s="705">
        <f t="shared" ref="M169" si="281">IFERROR(AVERAGE(L169:L170),"")</f>
        <v>94545.5</v>
      </c>
      <c r="N169" s="707">
        <f t="shared" ref="N169" si="282">IFERROR(HARMEAN(L169:L170),"")</f>
        <v>88820.881057268722</v>
      </c>
      <c r="O169" s="707">
        <f t="shared" ref="O169" si="283">IFERROR(MEDIAN(L169:L170),"")</f>
        <v>94545.5</v>
      </c>
      <c r="P169" s="25">
        <f t="shared" si="174"/>
        <v>117810</v>
      </c>
      <c r="Q169" s="544">
        <f t="shared" ref="Q169" si="284">IFERROR(SUM(P169:P170)/COUNTA(K169:K170),"")</f>
        <v>94545.5</v>
      </c>
      <c r="R169" s="542">
        <f t="shared" ref="R169" si="285">IFERROR(_xlfn.STDEV.S(L169:L170),"")</f>
        <v>32900.971421828872</v>
      </c>
      <c r="S169" s="545">
        <f t="shared" ref="S169" si="286">IFERROR(R169/M169,"")</f>
        <v>0.34799087658142241</v>
      </c>
      <c r="T169" s="692" t="s">
        <v>2076</v>
      </c>
      <c r="U169" s="540">
        <f t="shared" si="139"/>
        <v>94545.5</v>
      </c>
      <c r="V169" s="695" t="s">
        <v>1284</v>
      </c>
      <c r="W169" s="192" t="s">
        <v>1285</v>
      </c>
    </row>
    <row r="170" spans="1:23" ht="40.5" customHeight="1" x14ac:dyDescent="0.3">
      <c r="A170" s="496"/>
      <c r="B170" s="697"/>
      <c r="C170" s="699"/>
      <c r="D170" s="701"/>
      <c r="E170" s="669"/>
      <c r="F170" s="704"/>
      <c r="G170" s="697"/>
      <c r="H170" s="69" t="s">
        <v>1122</v>
      </c>
      <c r="I170" s="32">
        <f t="shared" si="178"/>
        <v>59900</v>
      </c>
      <c r="J170" s="33">
        <f t="shared" si="170"/>
        <v>19</v>
      </c>
      <c r="K170" s="195">
        <f>(59900*19%)+59900</f>
        <v>71281</v>
      </c>
      <c r="L170" s="85">
        <f>IF(I170="","",(K170)*$G$169)</f>
        <v>71281</v>
      </c>
      <c r="M170" s="705"/>
      <c r="N170" s="707"/>
      <c r="O170" s="707"/>
      <c r="P170" s="25">
        <f t="shared" si="174"/>
        <v>71281</v>
      </c>
      <c r="Q170" s="544"/>
      <c r="R170" s="542"/>
      <c r="S170" s="545"/>
      <c r="T170" s="711"/>
      <c r="U170" s="540">
        <f t="shared" si="139"/>
        <v>0</v>
      </c>
      <c r="V170" s="712"/>
      <c r="W170" s="192" t="s">
        <v>1286</v>
      </c>
    </row>
    <row r="171" spans="1:23" ht="40.5" customHeight="1" x14ac:dyDescent="0.3">
      <c r="A171" s="496">
        <v>84</v>
      </c>
      <c r="B171" s="697">
        <v>60101728</v>
      </c>
      <c r="C171" s="699" t="s">
        <v>1287</v>
      </c>
      <c r="D171" s="701" t="s">
        <v>1288</v>
      </c>
      <c r="E171" s="669" t="s">
        <v>373</v>
      </c>
      <c r="F171" s="704" t="s">
        <v>1289</v>
      </c>
      <c r="G171" s="697">
        <v>1</v>
      </c>
      <c r="H171" s="69" t="s">
        <v>722</v>
      </c>
      <c r="I171" s="32">
        <f t="shared" si="178"/>
        <v>52151.000000000007</v>
      </c>
      <c r="J171" s="33">
        <f t="shared" si="170"/>
        <v>18.999999999999989</v>
      </c>
      <c r="K171" s="195">
        <f>(52151*19%)+52151</f>
        <v>62059.69</v>
      </c>
      <c r="L171" s="85">
        <f>IF(I171="","",(K171)*$G$171)</f>
        <v>62059.69</v>
      </c>
      <c r="M171" s="705">
        <f t="shared" ref="M171" si="287">IFERROR(AVERAGE(L171:L172),"")</f>
        <v>96642.28</v>
      </c>
      <c r="N171" s="707">
        <f t="shared" ref="N171" si="288">IFERROR(HARMEAN(L171:L172),"")</f>
        <v>84267.204297025077</v>
      </c>
      <c r="O171" s="707">
        <f t="shared" ref="O171" si="289">IFERROR(MEDIAN(L171:L172),"")</f>
        <v>96642.28</v>
      </c>
      <c r="P171" s="25">
        <f t="shared" si="174"/>
        <v>62059.69</v>
      </c>
      <c r="Q171" s="544">
        <f t="shared" ref="Q171" si="290">IFERROR(SUM(P171:P172)/COUNTA(K171:K172),"")</f>
        <v>96642.28</v>
      </c>
      <c r="R171" s="542">
        <f t="shared" ref="R171" si="291">IFERROR(_xlfn.STDEV.S(L171:L172),"")</f>
        <v>48907.16779998815</v>
      </c>
      <c r="S171" s="545">
        <f t="shared" ref="S171" si="292">IFERROR(R171/M171,"")</f>
        <v>0.50606388632375132</v>
      </c>
      <c r="T171" s="692" t="s">
        <v>2076</v>
      </c>
      <c r="U171" s="540">
        <f t="shared" si="139"/>
        <v>96642.28</v>
      </c>
      <c r="V171" s="695" t="s">
        <v>1290</v>
      </c>
      <c r="W171" s="192" t="s">
        <v>1291</v>
      </c>
    </row>
    <row r="172" spans="1:23" ht="40.5" customHeight="1" x14ac:dyDescent="0.3">
      <c r="A172" s="496"/>
      <c r="B172" s="697"/>
      <c r="C172" s="699"/>
      <c r="D172" s="701"/>
      <c r="E172" s="669"/>
      <c r="F172" s="704"/>
      <c r="G172" s="697"/>
      <c r="H172" s="69" t="s">
        <v>831</v>
      </c>
      <c r="I172" s="32">
        <f t="shared" si="178"/>
        <v>110273</v>
      </c>
      <c r="J172" s="33">
        <f t="shared" si="170"/>
        <v>18.999999999999993</v>
      </c>
      <c r="K172" s="195">
        <f>(110273*19%)+110273</f>
        <v>131224.87</v>
      </c>
      <c r="L172" s="85">
        <f>IF(I172="","",(K172)*$G$171)</f>
        <v>131224.87</v>
      </c>
      <c r="M172" s="705"/>
      <c r="N172" s="707"/>
      <c r="O172" s="707"/>
      <c r="P172" s="25">
        <f t="shared" si="174"/>
        <v>131224.87</v>
      </c>
      <c r="Q172" s="544"/>
      <c r="R172" s="542"/>
      <c r="S172" s="545"/>
      <c r="T172" s="711"/>
      <c r="U172" s="540">
        <f t="shared" si="139"/>
        <v>0</v>
      </c>
      <c r="V172" s="712"/>
      <c r="W172" s="192" t="s">
        <v>1292</v>
      </c>
    </row>
    <row r="173" spans="1:23" ht="40.5" customHeight="1" x14ac:dyDescent="0.3">
      <c r="A173" s="496">
        <v>85</v>
      </c>
      <c r="B173" s="697">
        <v>60141101</v>
      </c>
      <c r="C173" s="699" t="s">
        <v>1293</v>
      </c>
      <c r="D173" s="701" t="s">
        <v>1294</v>
      </c>
      <c r="E173" s="713" t="s">
        <v>79</v>
      </c>
      <c r="F173" s="704" t="s">
        <v>570</v>
      </c>
      <c r="G173" s="697">
        <v>1</v>
      </c>
      <c r="H173" s="69" t="s">
        <v>860</v>
      </c>
      <c r="I173" s="32">
        <f t="shared" si="178"/>
        <v>31012.605042016807</v>
      </c>
      <c r="J173" s="33">
        <f t="shared" si="170"/>
        <v>19</v>
      </c>
      <c r="K173" s="195">
        <v>36905</v>
      </c>
      <c r="L173" s="85">
        <f>IF(I173="","",(K173)*$G$173)</f>
        <v>36905</v>
      </c>
      <c r="M173" s="705">
        <f t="shared" ref="M173" si="293">IFERROR(AVERAGE(L173:L174),"")</f>
        <v>39329.86</v>
      </c>
      <c r="N173" s="707">
        <f t="shared" ref="N173" si="294">IFERROR(HARMEAN(L173:L174),"")</f>
        <v>39180.356645052896</v>
      </c>
      <c r="O173" s="707">
        <f t="shared" ref="O173" si="295">IFERROR(MEDIAN(L173:L174),"")</f>
        <v>39329.86</v>
      </c>
      <c r="P173" s="25">
        <f t="shared" si="174"/>
        <v>36905</v>
      </c>
      <c r="Q173" s="544">
        <f t="shared" ref="Q173" si="296">IFERROR(SUM(P173:P174)/COUNTA(K173:K174),"")</f>
        <v>39329.86</v>
      </c>
      <c r="R173" s="542">
        <f t="shared" ref="R173" si="297">IFERROR(_xlfn.STDEV.S(L173:L174),"")</f>
        <v>3429.2698988560242</v>
      </c>
      <c r="S173" s="545">
        <f t="shared" ref="S173" si="298">IFERROR(R173/M173,"")</f>
        <v>8.7192527480545928E-2</v>
      </c>
      <c r="T173" s="692" t="s">
        <v>2076</v>
      </c>
      <c r="U173" s="540">
        <f t="shared" si="139"/>
        <v>39329.86</v>
      </c>
      <c r="V173" s="695" t="s">
        <v>1295</v>
      </c>
      <c r="W173" s="192" t="s">
        <v>1296</v>
      </c>
    </row>
    <row r="174" spans="1:23" ht="40.5" customHeight="1" x14ac:dyDescent="0.3">
      <c r="A174" s="496"/>
      <c r="B174" s="697"/>
      <c r="C174" s="699"/>
      <c r="D174" s="701"/>
      <c r="E174" s="713"/>
      <c r="F174" s="704"/>
      <c r="G174" s="697"/>
      <c r="H174" s="69" t="s">
        <v>863</v>
      </c>
      <c r="I174" s="32">
        <f t="shared" si="178"/>
        <v>35088</v>
      </c>
      <c r="J174" s="33">
        <f t="shared" si="170"/>
        <v>19.000000000000004</v>
      </c>
      <c r="K174" s="195">
        <f>(35088*19%)+35088</f>
        <v>41754.720000000001</v>
      </c>
      <c r="L174" s="85">
        <f>IF(I174="","",(K174)*$G$173)</f>
        <v>41754.720000000001</v>
      </c>
      <c r="M174" s="705"/>
      <c r="N174" s="707"/>
      <c r="O174" s="707"/>
      <c r="P174" s="25">
        <f t="shared" si="174"/>
        <v>41754.720000000001</v>
      </c>
      <c r="Q174" s="544"/>
      <c r="R174" s="542"/>
      <c r="S174" s="545"/>
      <c r="T174" s="711"/>
      <c r="U174" s="540">
        <f t="shared" si="139"/>
        <v>0</v>
      </c>
      <c r="V174" s="712"/>
      <c r="W174" s="192" t="s">
        <v>1297</v>
      </c>
    </row>
    <row r="175" spans="1:23" ht="40.5" customHeight="1" x14ac:dyDescent="0.3">
      <c r="A175" s="496">
        <v>86</v>
      </c>
      <c r="B175" s="697">
        <v>60101728</v>
      </c>
      <c r="C175" s="699" t="s">
        <v>1298</v>
      </c>
      <c r="D175" s="701" t="s">
        <v>1299</v>
      </c>
      <c r="E175" s="713" t="s">
        <v>79</v>
      </c>
      <c r="F175" s="704" t="s">
        <v>79</v>
      </c>
      <c r="G175" s="697">
        <v>1</v>
      </c>
      <c r="H175" s="69" t="s">
        <v>874</v>
      </c>
      <c r="I175" s="32">
        <f t="shared" si="178"/>
        <v>305646.21848739497</v>
      </c>
      <c r="J175" s="33">
        <f t="shared" si="170"/>
        <v>18.999999999999993</v>
      </c>
      <c r="K175" s="195">
        <v>363719</v>
      </c>
      <c r="L175" s="85">
        <f>IF(I175="","",(K175)*$G$175)</f>
        <v>363719</v>
      </c>
      <c r="M175" s="705">
        <f t="shared" ref="M175" si="299">IFERROR(AVERAGE(L175:L176),"")</f>
        <v>347864.5</v>
      </c>
      <c r="N175" s="707">
        <f t="shared" ref="N175" si="300">IFERROR(HARMEAN(L175:L176),"")</f>
        <v>347141.90493712353</v>
      </c>
      <c r="O175" s="707">
        <f t="shared" ref="O175" si="301">IFERROR(MEDIAN(L175:L176),"")</f>
        <v>347864.5</v>
      </c>
      <c r="P175" s="25">
        <f t="shared" si="174"/>
        <v>363719</v>
      </c>
      <c r="Q175" s="544">
        <f t="shared" ref="Q175" si="302">IFERROR(SUM(P175:P176)/COUNTA(K175:K176),"")</f>
        <v>347864.5</v>
      </c>
      <c r="R175" s="542">
        <f t="shared" ref="R175" si="303">IFERROR(_xlfn.STDEV.S(L175:L176),"")</f>
        <v>22421.648924644236</v>
      </c>
      <c r="S175" s="545">
        <f t="shared" ref="S175" si="304">IFERROR(R175/M175,"")</f>
        <v>6.4455122395772599E-2</v>
      </c>
      <c r="T175" s="539" t="s">
        <v>2075</v>
      </c>
      <c r="U175" s="540">
        <f t="shared" si="139"/>
        <v>347864.5</v>
      </c>
      <c r="V175" s="695" t="s">
        <v>1300</v>
      </c>
      <c r="W175" s="194" t="s">
        <v>1301</v>
      </c>
    </row>
    <row r="176" spans="1:23" ht="40.5" customHeight="1" x14ac:dyDescent="0.3">
      <c r="A176" s="496"/>
      <c r="B176" s="697"/>
      <c r="C176" s="699"/>
      <c r="D176" s="701"/>
      <c r="E176" s="713"/>
      <c r="F176" s="704"/>
      <c r="G176" s="697"/>
      <c r="H176" s="69" t="s">
        <v>863</v>
      </c>
      <c r="I176" s="32">
        <f t="shared" si="178"/>
        <v>279000</v>
      </c>
      <c r="J176" s="33">
        <f t="shared" si="170"/>
        <v>19</v>
      </c>
      <c r="K176" s="195">
        <f>(279000*19%)+279000</f>
        <v>332010</v>
      </c>
      <c r="L176" s="85">
        <f>IF(I176="","",(K176)*$G$175)</f>
        <v>332010</v>
      </c>
      <c r="M176" s="705"/>
      <c r="N176" s="707"/>
      <c r="O176" s="707"/>
      <c r="P176" s="25">
        <f t="shared" si="174"/>
        <v>332010</v>
      </c>
      <c r="Q176" s="544"/>
      <c r="R176" s="542"/>
      <c r="S176" s="545"/>
      <c r="T176" s="539"/>
      <c r="U176" s="540">
        <f t="shared" si="139"/>
        <v>0</v>
      </c>
      <c r="V176" s="712"/>
      <c r="W176" s="194" t="s">
        <v>1302</v>
      </c>
    </row>
    <row r="177" spans="1:23" ht="40.5" customHeight="1" x14ac:dyDescent="0.3">
      <c r="A177" s="496">
        <v>87</v>
      </c>
      <c r="B177" s="697">
        <v>44121630</v>
      </c>
      <c r="C177" s="699" t="s">
        <v>1303</v>
      </c>
      <c r="D177" s="701" t="s">
        <v>1304</v>
      </c>
      <c r="E177" s="669" t="s">
        <v>141</v>
      </c>
      <c r="F177" s="704" t="s">
        <v>141</v>
      </c>
      <c r="G177" s="697">
        <v>1</v>
      </c>
      <c r="H177" s="69" t="s">
        <v>874</v>
      </c>
      <c r="I177" s="32">
        <f t="shared" si="178"/>
        <v>12878.991596638656</v>
      </c>
      <c r="J177" s="33">
        <f t="shared" si="170"/>
        <v>18.999999999999993</v>
      </c>
      <c r="K177" s="195">
        <v>15326</v>
      </c>
      <c r="L177" s="85">
        <f>IF(I177="","",(K177)*$G$177)</f>
        <v>15326</v>
      </c>
      <c r="M177" s="705">
        <f t="shared" ref="M177" si="305">IFERROR(AVERAGE(L177:L178),"")</f>
        <v>15392.05</v>
      </c>
      <c r="N177" s="707">
        <f t="shared" ref="N177" si="306">IFERROR(HARMEAN(L177:L178),"")</f>
        <v>15391.766567806109</v>
      </c>
      <c r="O177" s="707">
        <f t="shared" ref="O177" si="307">IFERROR(MEDIAN(L177:L178),"")</f>
        <v>15392.05</v>
      </c>
      <c r="P177" s="25">
        <f t="shared" si="174"/>
        <v>15326</v>
      </c>
      <c r="Q177" s="544">
        <f t="shared" ref="Q177" si="308">IFERROR(SUM(P177:P178)/COUNTA(K177:K178),"")</f>
        <v>15392.05</v>
      </c>
      <c r="R177" s="542">
        <f t="shared" ref="R177" si="309">IFERROR(_xlfn.STDEV.S(L177:L178),"")</f>
        <v>93.408805794743188</v>
      </c>
      <c r="S177" s="545">
        <f t="shared" ref="S177" si="310">IFERROR(R177/M177,"")</f>
        <v>6.0686397065201313E-3</v>
      </c>
      <c r="T177" s="539" t="s">
        <v>2075</v>
      </c>
      <c r="U177" s="540">
        <f t="shared" si="139"/>
        <v>15392.05</v>
      </c>
      <c r="V177" s="695" t="s">
        <v>1305</v>
      </c>
      <c r="W177" s="194" t="s">
        <v>1301</v>
      </c>
    </row>
    <row r="178" spans="1:23" ht="40.5" customHeight="1" x14ac:dyDescent="0.3">
      <c r="A178" s="496"/>
      <c r="B178" s="697"/>
      <c r="C178" s="699"/>
      <c r="D178" s="701"/>
      <c r="E178" s="669"/>
      <c r="F178" s="704"/>
      <c r="G178" s="697"/>
      <c r="H178" s="69" t="s">
        <v>1306</v>
      </c>
      <c r="I178" s="32">
        <f t="shared" si="178"/>
        <v>12990</v>
      </c>
      <c r="J178" s="33">
        <f t="shared" si="170"/>
        <v>19.000000000000004</v>
      </c>
      <c r="K178" s="195">
        <f>(12990*19%)+12990</f>
        <v>15458.1</v>
      </c>
      <c r="L178" s="85">
        <f>IF(I178="","",(K178)*$G$177)</f>
        <v>15458.1</v>
      </c>
      <c r="M178" s="705"/>
      <c r="N178" s="707"/>
      <c r="O178" s="707"/>
      <c r="P178" s="25">
        <f t="shared" si="174"/>
        <v>15458.1</v>
      </c>
      <c r="Q178" s="544"/>
      <c r="R178" s="542"/>
      <c r="S178" s="545"/>
      <c r="T178" s="539"/>
      <c r="U178" s="540">
        <f t="shared" si="139"/>
        <v>0</v>
      </c>
      <c r="V178" s="712"/>
      <c r="W178" s="192" t="s">
        <v>1307</v>
      </c>
    </row>
    <row r="179" spans="1:23" ht="40.5" customHeight="1" x14ac:dyDescent="0.3">
      <c r="A179" s="496">
        <v>88</v>
      </c>
      <c r="B179" s="697">
        <v>11151701</v>
      </c>
      <c r="C179" s="699" t="s">
        <v>1308</v>
      </c>
      <c r="D179" s="701" t="s">
        <v>1309</v>
      </c>
      <c r="E179" s="713" t="s">
        <v>290</v>
      </c>
      <c r="F179" s="704" t="s">
        <v>1131</v>
      </c>
      <c r="G179" s="697">
        <v>1</v>
      </c>
      <c r="H179" s="69" t="s">
        <v>1310</v>
      </c>
      <c r="I179" s="32">
        <f t="shared" si="178"/>
        <v>10500</v>
      </c>
      <c r="J179" s="33">
        <f t="shared" si="170"/>
        <v>19</v>
      </c>
      <c r="K179" s="195">
        <f>(10500*19%)+10500</f>
        <v>12495</v>
      </c>
      <c r="L179" s="85">
        <f>IF(I179="","",(K179)*$G$179)</f>
        <v>12495</v>
      </c>
      <c r="M179" s="705">
        <f t="shared" ref="M179" si="311">IFERROR(AVERAGE(L179:L180),"")</f>
        <v>11721.5</v>
      </c>
      <c r="N179" s="707">
        <f t="shared" ref="N179" si="312">IFERROR(HARMEAN(L179:L180),"")</f>
        <v>11670.45685279188</v>
      </c>
      <c r="O179" s="707">
        <f t="shared" ref="O179" si="313">IFERROR(MEDIAN(L179:L180),"")</f>
        <v>11721.5</v>
      </c>
      <c r="P179" s="25">
        <f t="shared" si="174"/>
        <v>12495</v>
      </c>
      <c r="Q179" s="544">
        <f t="shared" ref="Q179" si="314">IFERROR(SUM(P179:P180)/COUNTA(K179:K180),"")</f>
        <v>11721.5</v>
      </c>
      <c r="R179" s="542">
        <f t="shared" ref="R179" si="315">IFERROR(_xlfn.STDEV.S(L179:L180),"")</f>
        <v>1093.8941904955891</v>
      </c>
      <c r="S179" s="545">
        <f t="shared" ref="S179" si="316">IFERROR(R179/M179,"")</f>
        <v>9.3323737618529121E-2</v>
      </c>
      <c r="T179" s="539" t="s">
        <v>2075</v>
      </c>
      <c r="U179" s="540">
        <f t="shared" si="139"/>
        <v>11721.5</v>
      </c>
      <c r="V179" s="695" t="s">
        <v>1311</v>
      </c>
      <c r="W179" s="192" t="s">
        <v>1312</v>
      </c>
    </row>
    <row r="180" spans="1:23" ht="40.5" customHeight="1" x14ac:dyDescent="0.3">
      <c r="A180" s="496"/>
      <c r="B180" s="697"/>
      <c r="C180" s="699"/>
      <c r="D180" s="701"/>
      <c r="E180" s="713"/>
      <c r="F180" s="704"/>
      <c r="G180" s="697"/>
      <c r="H180" s="69" t="s">
        <v>1313</v>
      </c>
      <c r="I180" s="32">
        <f t="shared" si="178"/>
        <v>9200</v>
      </c>
      <c r="J180" s="33">
        <f t="shared" si="170"/>
        <v>19</v>
      </c>
      <c r="K180" s="195">
        <f>(9200*19%)+9200</f>
        <v>10948</v>
      </c>
      <c r="L180" s="85">
        <f>IF(I180="","",(K180)*$G$179)</f>
        <v>10948</v>
      </c>
      <c r="M180" s="705"/>
      <c r="N180" s="707"/>
      <c r="O180" s="707"/>
      <c r="P180" s="25">
        <f t="shared" si="174"/>
        <v>10948</v>
      </c>
      <c r="Q180" s="544"/>
      <c r="R180" s="542"/>
      <c r="S180" s="545"/>
      <c r="T180" s="539"/>
      <c r="U180" s="540">
        <f t="shared" si="139"/>
        <v>0</v>
      </c>
      <c r="V180" s="712"/>
      <c r="W180" s="192" t="s">
        <v>1314</v>
      </c>
    </row>
    <row r="181" spans="1:23" ht="40.5" customHeight="1" x14ac:dyDescent="0.25">
      <c r="A181" s="496">
        <v>89</v>
      </c>
      <c r="B181" s="697">
        <v>44121701</v>
      </c>
      <c r="C181" s="699" t="s">
        <v>1315</v>
      </c>
      <c r="D181" s="701" t="s">
        <v>1316</v>
      </c>
      <c r="E181" s="713" t="s">
        <v>79</v>
      </c>
      <c r="F181" s="704" t="s">
        <v>79</v>
      </c>
      <c r="G181" s="697">
        <v>1</v>
      </c>
      <c r="H181" s="69" t="s">
        <v>874</v>
      </c>
      <c r="I181" s="32">
        <f t="shared" si="178"/>
        <v>2565.546218487395</v>
      </c>
      <c r="J181" s="33">
        <f t="shared" si="170"/>
        <v>19</v>
      </c>
      <c r="K181" s="195">
        <v>3053</v>
      </c>
      <c r="L181" s="85">
        <f>IF(I181="","",(K181)*$G$181)</f>
        <v>3053</v>
      </c>
      <c r="M181" s="705">
        <f t="shared" ref="M181" si="317">IFERROR(AVERAGE(L181:L182),"")</f>
        <v>2820.625</v>
      </c>
      <c r="N181" s="707">
        <f t="shared" ref="N181" si="318">IFERROR(HARMEAN(L181:L182),"")</f>
        <v>2801.4809660979395</v>
      </c>
      <c r="O181" s="707">
        <f t="shared" ref="O181" si="319">IFERROR(MEDIAN(L181:L182),"")</f>
        <v>2820.625</v>
      </c>
      <c r="P181" s="25">
        <f t="shared" si="174"/>
        <v>3053</v>
      </c>
      <c r="Q181" s="544">
        <f t="shared" ref="Q181" si="320">IFERROR(SUM(P181:P182)/COUNTA(K181:K182),"")</f>
        <v>2820.625</v>
      </c>
      <c r="R181" s="542">
        <f t="shared" ref="R181" si="321">IFERROR(_xlfn.STDEV.S(L181:L182),"")</f>
        <v>328.62787655644797</v>
      </c>
      <c r="S181" s="545">
        <f t="shared" ref="S181" si="322">IFERROR(R181/M181,"")</f>
        <v>0.11650888599386588</v>
      </c>
      <c r="T181" s="539" t="s">
        <v>2075</v>
      </c>
      <c r="U181" s="540">
        <f t="shared" si="139"/>
        <v>2820.625</v>
      </c>
      <c r="V181" s="695" t="s">
        <v>1317</v>
      </c>
      <c r="W181" s="189" t="s">
        <v>876</v>
      </c>
    </row>
    <row r="182" spans="1:23" ht="40.5" customHeight="1" x14ac:dyDescent="0.3">
      <c r="A182" s="496"/>
      <c r="B182" s="697"/>
      <c r="C182" s="699"/>
      <c r="D182" s="701"/>
      <c r="E182" s="713"/>
      <c r="F182" s="704"/>
      <c r="G182" s="697"/>
      <c r="H182" s="69" t="s">
        <v>1318</v>
      </c>
      <c r="I182" s="32">
        <f t="shared" si="178"/>
        <v>2175</v>
      </c>
      <c r="J182" s="33">
        <f t="shared" si="170"/>
        <v>19</v>
      </c>
      <c r="K182" s="195">
        <f>(2175*19%)+2175</f>
        <v>2588.25</v>
      </c>
      <c r="L182" s="85">
        <f>IF(I182="","",(K182)*$G$181)</f>
        <v>2588.25</v>
      </c>
      <c r="M182" s="705"/>
      <c r="N182" s="707"/>
      <c r="O182" s="707"/>
      <c r="P182" s="25">
        <f t="shared" si="174"/>
        <v>2588.25</v>
      </c>
      <c r="Q182" s="544"/>
      <c r="R182" s="542"/>
      <c r="S182" s="545"/>
      <c r="T182" s="539"/>
      <c r="U182" s="540">
        <f t="shared" si="139"/>
        <v>0</v>
      </c>
      <c r="V182" s="712"/>
      <c r="W182" s="192" t="s">
        <v>1319</v>
      </c>
    </row>
    <row r="183" spans="1:23" ht="40.5" customHeight="1" x14ac:dyDescent="0.25">
      <c r="A183" s="496">
        <v>90</v>
      </c>
      <c r="B183" s="697">
        <v>44121701</v>
      </c>
      <c r="C183" s="699" t="s">
        <v>1320</v>
      </c>
      <c r="D183" s="701" t="s">
        <v>1321</v>
      </c>
      <c r="E183" s="669" t="s">
        <v>373</v>
      </c>
      <c r="F183" s="704" t="s">
        <v>984</v>
      </c>
      <c r="G183" s="697">
        <v>1</v>
      </c>
      <c r="H183" s="69" t="s">
        <v>874</v>
      </c>
      <c r="I183" s="32">
        <f t="shared" si="178"/>
        <v>11792.436974789916</v>
      </c>
      <c r="J183" s="33">
        <f t="shared" si="170"/>
        <v>18.999999999999996</v>
      </c>
      <c r="K183" s="195">
        <v>14033</v>
      </c>
      <c r="L183" s="85">
        <f>IF(I183="","",(K183)*$G$183)</f>
        <v>14033</v>
      </c>
      <c r="M183" s="705">
        <f t="shared" ref="M183" si="323">IFERROR(AVERAGE(L183:L184),"")</f>
        <v>13264</v>
      </c>
      <c r="N183" s="707">
        <f t="shared" ref="N183" si="324">IFERROR(HARMEAN(L183:L184),"")</f>
        <v>13219.416088661039</v>
      </c>
      <c r="O183" s="707">
        <f t="shared" ref="O183" si="325">IFERROR(MEDIAN(L183:L184),"")</f>
        <v>13264</v>
      </c>
      <c r="P183" s="25">
        <f t="shared" si="174"/>
        <v>14033</v>
      </c>
      <c r="Q183" s="544">
        <f t="shared" ref="Q183" si="326">IFERROR(SUM(P183:P184)/COUNTA(K183:K184),"")</f>
        <v>13264</v>
      </c>
      <c r="R183" s="542">
        <f t="shared" ref="R183" si="327">IFERROR(_xlfn.STDEV.S(L183:L184),"")</f>
        <v>1087.53022946491</v>
      </c>
      <c r="S183" s="545">
        <f t="shared" ref="S183" si="328">IFERROR(R183/M183,"")</f>
        <v>8.1991121039272474E-2</v>
      </c>
      <c r="T183" s="539" t="s">
        <v>2075</v>
      </c>
      <c r="U183" s="540">
        <f t="shared" si="139"/>
        <v>13264</v>
      </c>
      <c r="V183" s="695" t="s">
        <v>1322</v>
      </c>
      <c r="W183" s="189" t="s">
        <v>876</v>
      </c>
    </row>
    <row r="184" spans="1:23" ht="40.5" customHeight="1" x14ac:dyDescent="0.3">
      <c r="A184" s="496"/>
      <c r="B184" s="697"/>
      <c r="C184" s="699"/>
      <c r="D184" s="701"/>
      <c r="E184" s="669"/>
      <c r="F184" s="704"/>
      <c r="G184" s="697"/>
      <c r="H184" s="69" t="s">
        <v>1323</v>
      </c>
      <c r="I184" s="32">
        <f t="shared" si="178"/>
        <v>10500</v>
      </c>
      <c r="J184" s="33">
        <f t="shared" si="170"/>
        <v>19</v>
      </c>
      <c r="K184" s="195">
        <f>(10500*19%)+10500</f>
        <v>12495</v>
      </c>
      <c r="L184" s="85">
        <f>IF(I184="","",(K184)*$G$183)</f>
        <v>12495</v>
      </c>
      <c r="M184" s="705"/>
      <c r="N184" s="707"/>
      <c r="O184" s="707"/>
      <c r="P184" s="25">
        <f t="shared" si="174"/>
        <v>12495</v>
      </c>
      <c r="Q184" s="544"/>
      <c r="R184" s="542"/>
      <c r="S184" s="545"/>
      <c r="T184" s="539"/>
      <c r="U184" s="540">
        <f t="shared" si="139"/>
        <v>0</v>
      </c>
      <c r="V184" s="712"/>
      <c r="W184" s="192" t="s">
        <v>1324</v>
      </c>
    </row>
    <row r="185" spans="1:23" ht="40.5" customHeight="1" x14ac:dyDescent="0.3">
      <c r="A185" s="496">
        <v>91</v>
      </c>
      <c r="B185" s="697">
        <v>44121701</v>
      </c>
      <c r="C185" s="699" t="s">
        <v>1325</v>
      </c>
      <c r="D185" s="701" t="s">
        <v>1326</v>
      </c>
      <c r="E185" s="669" t="s">
        <v>373</v>
      </c>
      <c r="F185" s="704" t="s">
        <v>984</v>
      </c>
      <c r="G185" s="697">
        <v>1</v>
      </c>
      <c r="H185" s="69" t="s">
        <v>820</v>
      </c>
      <c r="I185" s="32">
        <f t="shared" si="178"/>
        <v>15762.01680672269</v>
      </c>
      <c r="J185" s="33">
        <f t="shared" si="170"/>
        <v>18.999999999999993</v>
      </c>
      <c r="K185" s="195">
        <v>18756.8</v>
      </c>
      <c r="L185" s="85">
        <f>IF(I185="","",(K185)*$G$185)</f>
        <v>18756.8</v>
      </c>
      <c r="M185" s="705">
        <f t="shared" ref="M185" si="329">IFERROR(AVERAGE(L185:L186),"")</f>
        <v>15201.4</v>
      </c>
      <c r="N185" s="707">
        <f t="shared" ref="N185" si="330">IFERROR(HARMEAN(L185:L186),"")</f>
        <v>14369.840462062706</v>
      </c>
      <c r="O185" s="707">
        <f t="shared" ref="O185" si="331">IFERROR(MEDIAN(L185:L186),"")</f>
        <v>15201.4</v>
      </c>
      <c r="P185" s="25">
        <f t="shared" si="174"/>
        <v>18756.8</v>
      </c>
      <c r="Q185" s="544">
        <f t="shared" ref="Q185" si="332">IFERROR(SUM(P185:P186)/COUNTA(K185:K186),"")</f>
        <v>15201.4</v>
      </c>
      <c r="R185" s="542">
        <f t="shared" ref="R185" si="333">IFERROR(_xlfn.STDEV.S(L185:L186),"")</f>
        <v>5028.0948996613015</v>
      </c>
      <c r="S185" s="545">
        <f t="shared" ref="S185" si="334">IFERROR(R185/M185,"")</f>
        <v>0.33076525186241407</v>
      </c>
      <c r="T185" s="539" t="s">
        <v>881</v>
      </c>
      <c r="U185" s="540">
        <f t="shared" ref="U185:U248" si="335">M185</f>
        <v>15201.4</v>
      </c>
      <c r="V185" s="714" t="s">
        <v>882</v>
      </c>
      <c r="W185" s="190"/>
    </row>
    <row r="186" spans="1:23" ht="40.5" customHeight="1" x14ac:dyDescent="0.3">
      <c r="A186" s="496"/>
      <c r="B186" s="697"/>
      <c r="C186" s="699"/>
      <c r="D186" s="701"/>
      <c r="E186" s="669"/>
      <c r="F186" s="704"/>
      <c r="G186" s="697"/>
      <c r="H186" s="69" t="s">
        <v>874</v>
      </c>
      <c r="I186" s="32">
        <f t="shared" si="178"/>
        <v>9786.5546218487398</v>
      </c>
      <c r="J186" s="33">
        <f t="shared" si="170"/>
        <v>18.999999999999996</v>
      </c>
      <c r="K186" s="195">
        <v>11646</v>
      </c>
      <c r="L186" s="85">
        <f>IF(I186="","",(K186)*$G$185)</f>
        <v>11646</v>
      </c>
      <c r="M186" s="705"/>
      <c r="N186" s="707"/>
      <c r="O186" s="707"/>
      <c r="P186" s="25">
        <f t="shared" si="174"/>
        <v>11646</v>
      </c>
      <c r="Q186" s="544"/>
      <c r="R186" s="542"/>
      <c r="S186" s="545"/>
      <c r="T186" s="539"/>
      <c r="U186" s="540">
        <f t="shared" si="335"/>
        <v>0</v>
      </c>
      <c r="V186" s="715"/>
      <c r="W186" s="190"/>
    </row>
    <row r="187" spans="1:23" ht="40.5" customHeight="1" x14ac:dyDescent="0.3">
      <c r="A187" s="496">
        <v>92</v>
      </c>
      <c r="B187" s="697">
        <v>44121701</v>
      </c>
      <c r="C187" s="699" t="s">
        <v>1327</v>
      </c>
      <c r="D187" s="701" t="s">
        <v>1328</v>
      </c>
      <c r="E187" s="669" t="s">
        <v>373</v>
      </c>
      <c r="F187" s="704" t="s">
        <v>984</v>
      </c>
      <c r="G187" s="697">
        <v>1</v>
      </c>
      <c r="H187" s="69" t="s">
        <v>874</v>
      </c>
      <c r="I187" s="32">
        <f t="shared" si="178"/>
        <v>16267.226890756303</v>
      </c>
      <c r="J187" s="33">
        <f t="shared" si="170"/>
        <v>18.999999999999996</v>
      </c>
      <c r="K187" s="195">
        <v>19358</v>
      </c>
      <c r="L187" s="85">
        <f>IF(I187="","",(K187)*$G$187)</f>
        <v>19358</v>
      </c>
      <c r="M187" s="705">
        <f t="shared" ref="M187" si="336">IFERROR(AVERAGE(L187:L188),"")</f>
        <v>18247</v>
      </c>
      <c r="N187" s="707">
        <f t="shared" ref="N187" si="337">IFERROR(HARMEAN(L187:L188),"")</f>
        <v>18179.354852852521</v>
      </c>
      <c r="O187" s="707">
        <f t="shared" ref="O187" si="338">IFERROR(MEDIAN(L187:L188),"")</f>
        <v>18247</v>
      </c>
      <c r="P187" s="25">
        <f t="shared" si="174"/>
        <v>19358</v>
      </c>
      <c r="Q187" s="544">
        <f t="shared" ref="Q187" si="339">IFERROR(SUM(P187:P188)/COUNTA(K187:K188),"")</f>
        <v>18247</v>
      </c>
      <c r="R187" s="542">
        <f t="shared" ref="R187" si="340">IFERROR(_xlfn.STDEV.S(L187:L188),"")</f>
        <v>1571.1912677965086</v>
      </c>
      <c r="S187" s="545">
        <f t="shared" ref="S187" si="341">IFERROR(R187/M187,"")</f>
        <v>8.6106826754891688E-2</v>
      </c>
      <c r="T187" s="539" t="s">
        <v>2075</v>
      </c>
      <c r="U187" s="540">
        <f t="shared" si="335"/>
        <v>18247</v>
      </c>
      <c r="V187" s="695" t="s">
        <v>1329</v>
      </c>
      <c r="W187" s="190"/>
    </row>
    <row r="188" spans="1:23" ht="40.5" customHeight="1" x14ac:dyDescent="0.3">
      <c r="A188" s="496"/>
      <c r="B188" s="697"/>
      <c r="C188" s="699"/>
      <c r="D188" s="701"/>
      <c r="E188" s="669"/>
      <c r="F188" s="704"/>
      <c r="G188" s="697"/>
      <c r="H188" s="69" t="s">
        <v>919</v>
      </c>
      <c r="I188" s="32">
        <f t="shared" si="178"/>
        <v>14400</v>
      </c>
      <c r="J188" s="33">
        <f t="shared" si="170"/>
        <v>19</v>
      </c>
      <c r="K188" s="195">
        <f>(14400*19%)+14400</f>
        <v>17136</v>
      </c>
      <c r="L188" s="85">
        <f>IF(I188="","",(K188)*$G$187)</f>
        <v>17136</v>
      </c>
      <c r="M188" s="705"/>
      <c r="N188" s="707"/>
      <c r="O188" s="707"/>
      <c r="P188" s="25">
        <f t="shared" si="174"/>
        <v>17136</v>
      </c>
      <c r="Q188" s="544"/>
      <c r="R188" s="542"/>
      <c r="S188" s="545"/>
      <c r="T188" s="539"/>
      <c r="U188" s="540">
        <f t="shared" si="335"/>
        <v>0</v>
      </c>
      <c r="V188" s="712"/>
      <c r="W188" s="192" t="s">
        <v>1330</v>
      </c>
    </row>
    <row r="189" spans="1:23" ht="40.5" customHeight="1" x14ac:dyDescent="0.3">
      <c r="A189" s="496">
        <v>93</v>
      </c>
      <c r="B189" s="697">
        <v>44121707</v>
      </c>
      <c r="C189" s="699" t="s">
        <v>1331</v>
      </c>
      <c r="D189" s="701" t="s">
        <v>1332</v>
      </c>
      <c r="E189" s="669" t="s">
        <v>373</v>
      </c>
      <c r="F189" s="704" t="s">
        <v>1333</v>
      </c>
      <c r="G189" s="697">
        <v>1</v>
      </c>
      <c r="H189" s="69" t="s">
        <v>1334</v>
      </c>
      <c r="I189" s="32">
        <f t="shared" si="178"/>
        <v>13800</v>
      </c>
      <c r="J189" s="33">
        <f t="shared" si="170"/>
        <v>19</v>
      </c>
      <c r="K189" s="195">
        <f>(13800*19%)+13800</f>
        <v>16422</v>
      </c>
      <c r="L189" s="85">
        <f>IF(I189="","",(K189)*$G$189)</f>
        <v>16422</v>
      </c>
      <c r="M189" s="705">
        <f t="shared" ref="M189" si="342">IFERROR(AVERAGE(L189:L190),"")</f>
        <v>14739.34</v>
      </c>
      <c r="N189" s="707">
        <f t="shared" ref="N189" si="343">IFERROR(HARMEAN(L189:L190),"")</f>
        <v>14547.245599870823</v>
      </c>
      <c r="O189" s="707">
        <f t="shared" ref="O189" si="344">IFERROR(MEDIAN(L189:L190),"")</f>
        <v>14739.34</v>
      </c>
      <c r="P189" s="25">
        <f t="shared" si="174"/>
        <v>16422</v>
      </c>
      <c r="Q189" s="544">
        <f t="shared" ref="Q189" si="345">IFERROR(SUM(P189:P190)/COUNTA(K189:K190),"")</f>
        <v>14739.34</v>
      </c>
      <c r="R189" s="542">
        <f t="shared" ref="R189" si="346">IFERROR(_xlfn.STDEV.S(L189:L190),"")</f>
        <v>2379.6405928627214</v>
      </c>
      <c r="S189" s="545">
        <f t="shared" ref="S189" si="347">IFERROR(R189/M189,"")</f>
        <v>0.16144824618081416</v>
      </c>
      <c r="T189" s="692" t="s">
        <v>2076</v>
      </c>
      <c r="U189" s="540">
        <f t="shared" si="335"/>
        <v>14739.34</v>
      </c>
      <c r="V189" s="695" t="s">
        <v>1335</v>
      </c>
      <c r="W189" s="192" t="s">
        <v>1336</v>
      </c>
    </row>
    <row r="190" spans="1:23" ht="40.5" customHeight="1" x14ac:dyDescent="0.3">
      <c r="A190" s="496"/>
      <c r="B190" s="697"/>
      <c r="C190" s="699"/>
      <c r="D190" s="701"/>
      <c r="E190" s="669"/>
      <c r="F190" s="704"/>
      <c r="G190" s="697"/>
      <c r="H190" s="69" t="s">
        <v>867</v>
      </c>
      <c r="I190" s="32">
        <f t="shared" si="178"/>
        <v>10972</v>
      </c>
      <c r="J190" s="33">
        <f t="shared" si="170"/>
        <v>19.000000000000004</v>
      </c>
      <c r="K190" s="195">
        <f>(10972*19%)+10972</f>
        <v>13056.68</v>
      </c>
      <c r="L190" s="85">
        <f>IF(I190="","",(K190)*$G$189)</f>
        <v>13056.68</v>
      </c>
      <c r="M190" s="705"/>
      <c r="N190" s="707"/>
      <c r="O190" s="707"/>
      <c r="P190" s="25">
        <f t="shared" si="174"/>
        <v>13056.68</v>
      </c>
      <c r="Q190" s="544"/>
      <c r="R190" s="542"/>
      <c r="S190" s="545"/>
      <c r="T190" s="711"/>
      <c r="U190" s="540">
        <f t="shared" si="335"/>
        <v>0</v>
      </c>
      <c r="V190" s="712"/>
      <c r="W190" s="192" t="s">
        <v>1337</v>
      </c>
    </row>
    <row r="191" spans="1:23" ht="40.5" customHeight="1" x14ac:dyDescent="0.3">
      <c r="A191" s="496">
        <v>94</v>
      </c>
      <c r="B191" s="697">
        <v>44121706</v>
      </c>
      <c r="C191" s="699" t="s">
        <v>1338</v>
      </c>
      <c r="D191" s="701" t="s">
        <v>1339</v>
      </c>
      <c r="E191" s="669" t="s">
        <v>373</v>
      </c>
      <c r="F191" s="704" t="s">
        <v>984</v>
      </c>
      <c r="G191" s="697">
        <v>1</v>
      </c>
      <c r="H191" s="69" t="s">
        <v>722</v>
      </c>
      <c r="I191" s="32">
        <f t="shared" si="178"/>
        <v>34950</v>
      </c>
      <c r="J191" s="33">
        <f t="shared" si="170"/>
        <v>19</v>
      </c>
      <c r="K191" s="195">
        <f>(34950*19%)+34950</f>
        <v>41590.5</v>
      </c>
      <c r="L191" s="85">
        <f>IF(I191="","",(K191)*$G$191)</f>
        <v>41590.5</v>
      </c>
      <c r="M191" s="705">
        <f t="shared" ref="M191" si="348">IFERROR(AVERAGE(L191:L192),"")</f>
        <v>37527</v>
      </c>
      <c r="N191" s="707">
        <f t="shared" ref="N191" si="349">IFERROR(HARMEAN(L191:L192),"")</f>
        <v>37086.995942921101</v>
      </c>
      <c r="O191" s="707">
        <f t="shared" ref="O191" si="350">IFERROR(MEDIAN(L191:L192),"")</f>
        <v>37527</v>
      </c>
      <c r="P191" s="25">
        <f t="shared" si="174"/>
        <v>41590.5</v>
      </c>
      <c r="Q191" s="544">
        <f t="shared" ref="Q191" si="351">IFERROR(SUM(P191:P192)/COUNTA(K191:K192),"")</f>
        <v>37527</v>
      </c>
      <c r="R191" s="542">
        <f t="shared" ref="R191" si="352">IFERROR(_xlfn.STDEV.S(L191:L192),"")</f>
        <v>5746.6568107030716</v>
      </c>
      <c r="S191" s="545">
        <f t="shared" ref="S191" si="353">IFERROR(R191/M191,"")</f>
        <v>0.1531339251926099</v>
      </c>
      <c r="T191" s="539" t="s">
        <v>2075</v>
      </c>
      <c r="U191" s="540">
        <f t="shared" si="335"/>
        <v>37527</v>
      </c>
      <c r="V191" s="695" t="s">
        <v>1340</v>
      </c>
      <c r="W191" s="192" t="s">
        <v>1341</v>
      </c>
    </row>
    <row r="192" spans="1:23" ht="40.5" customHeight="1" x14ac:dyDescent="0.3">
      <c r="A192" s="496"/>
      <c r="B192" s="697"/>
      <c r="C192" s="699"/>
      <c r="D192" s="701"/>
      <c r="E192" s="669"/>
      <c r="F192" s="704"/>
      <c r="G192" s="697"/>
      <c r="H192" s="71" t="s">
        <v>820</v>
      </c>
      <c r="I192" s="32">
        <f t="shared" si="178"/>
        <v>28120.588235294119</v>
      </c>
      <c r="J192" s="33">
        <f t="shared" si="170"/>
        <v>18.999999999999993</v>
      </c>
      <c r="K192" s="195">
        <v>33463.5</v>
      </c>
      <c r="L192" s="85">
        <f>IF(I192="","",(K192)*$G$191)</f>
        <v>33463.5</v>
      </c>
      <c r="M192" s="705"/>
      <c r="N192" s="707"/>
      <c r="O192" s="707"/>
      <c r="P192" s="25">
        <f t="shared" si="174"/>
        <v>33463.5</v>
      </c>
      <c r="Q192" s="544"/>
      <c r="R192" s="542"/>
      <c r="S192" s="545"/>
      <c r="T192" s="539"/>
      <c r="U192" s="540">
        <f t="shared" si="335"/>
        <v>0</v>
      </c>
      <c r="V192" s="712"/>
      <c r="W192" s="190" t="s">
        <v>1342</v>
      </c>
    </row>
    <row r="193" spans="1:23" ht="40.5" customHeight="1" x14ac:dyDescent="0.3">
      <c r="A193" s="496">
        <v>95</v>
      </c>
      <c r="B193" s="697">
        <v>44121706</v>
      </c>
      <c r="C193" s="699" t="s">
        <v>1343</v>
      </c>
      <c r="D193" s="701" t="s">
        <v>1344</v>
      </c>
      <c r="E193" s="669" t="s">
        <v>373</v>
      </c>
      <c r="F193" s="704" t="s">
        <v>1333</v>
      </c>
      <c r="G193" s="697">
        <v>1</v>
      </c>
      <c r="H193" s="69" t="s">
        <v>919</v>
      </c>
      <c r="I193" s="32">
        <f t="shared" si="178"/>
        <v>28800</v>
      </c>
      <c r="J193" s="33">
        <f t="shared" si="170"/>
        <v>19</v>
      </c>
      <c r="K193" s="195">
        <f>(28800*19%)+28800</f>
        <v>34272</v>
      </c>
      <c r="L193" s="85">
        <f>IF(I193="","",(K193)*$G$193)</f>
        <v>34272</v>
      </c>
      <c r="M193" s="705">
        <f t="shared" ref="M193" si="354">IFERROR(AVERAGE(L193:L194),"")</f>
        <v>33653.35</v>
      </c>
      <c r="N193" s="707">
        <f t="shared" ref="N193" si="355">IFERROR(HARMEAN(L193:L194),"")</f>
        <v>33641.977348466055</v>
      </c>
      <c r="O193" s="707">
        <f t="shared" ref="O193" si="356">IFERROR(MEDIAN(L193:L194),"")</f>
        <v>33653.35</v>
      </c>
      <c r="P193" s="25">
        <f t="shared" si="174"/>
        <v>34272</v>
      </c>
      <c r="Q193" s="544">
        <f t="shared" ref="Q193" si="357">IFERROR(SUM(P193:P194)/COUNTA(K193:K194),"")</f>
        <v>33653.35</v>
      </c>
      <c r="R193" s="542">
        <f t="shared" ref="R193" si="358">IFERROR(_xlfn.STDEV.S(L193:L194),"")</f>
        <v>874.90322036211728</v>
      </c>
      <c r="S193" s="545">
        <f t="shared" ref="S193" si="359">IFERROR(R193/M193,"")</f>
        <v>2.5997507539728359E-2</v>
      </c>
      <c r="T193" s="539" t="s">
        <v>2075</v>
      </c>
      <c r="U193" s="540">
        <f t="shared" si="335"/>
        <v>33653.35</v>
      </c>
      <c r="V193" s="695" t="s">
        <v>1345</v>
      </c>
      <c r="W193" s="192" t="s">
        <v>1346</v>
      </c>
    </row>
    <row r="194" spans="1:23" ht="40.5" customHeight="1" x14ac:dyDescent="0.3">
      <c r="A194" s="496"/>
      <c r="B194" s="697"/>
      <c r="C194" s="699"/>
      <c r="D194" s="701"/>
      <c r="E194" s="669"/>
      <c r="F194" s="704"/>
      <c r="G194" s="697"/>
      <c r="H194" s="71" t="s">
        <v>820</v>
      </c>
      <c r="I194" s="32">
        <f t="shared" si="178"/>
        <v>27760.252100840335</v>
      </c>
      <c r="J194" s="33">
        <f t="shared" si="170"/>
        <v>18.999999999999996</v>
      </c>
      <c r="K194" s="195">
        <v>33034.699999999997</v>
      </c>
      <c r="L194" s="85">
        <f>IF(I194="","",(K194)*$G$193)</f>
        <v>33034.699999999997</v>
      </c>
      <c r="M194" s="705"/>
      <c r="N194" s="707"/>
      <c r="O194" s="707"/>
      <c r="P194" s="25">
        <f t="shared" si="174"/>
        <v>33034.699999999997</v>
      </c>
      <c r="Q194" s="544"/>
      <c r="R194" s="542"/>
      <c r="S194" s="545"/>
      <c r="T194" s="539"/>
      <c r="U194" s="540">
        <f t="shared" si="335"/>
        <v>0</v>
      </c>
      <c r="V194" s="712"/>
      <c r="W194" s="190" t="s">
        <v>1342</v>
      </c>
    </row>
    <row r="195" spans="1:23" ht="40.5" customHeight="1" x14ac:dyDescent="0.3">
      <c r="A195" s="496">
        <v>96</v>
      </c>
      <c r="B195" s="697">
        <v>44121715</v>
      </c>
      <c r="C195" s="699" t="s">
        <v>1347</v>
      </c>
      <c r="D195" s="701" t="s">
        <v>1348</v>
      </c>
      <c r="E195" s="669" t="s">
        <v>373</v>
      </c>
      <c r="F195" s="704" t="s">
        <v>1349</v>
      </c>
      <c r="G195" s="697">
        <v>1</v>
      </c>
      <c r="H195" s="69" t="s">
        <v>919</v>
      </c>
      <c r="I195" s="32">
        <f t="shared" si="178"/>
        <v>14400</v>
      </c>
      <c r="J195" s="33">
        <f t="shared" si="170"/>
        <v>19</v>
      </c>
      <c r="K195" s="195">
        <f>(14400*19%)+14400</f>
        <v>17136</v>
      </c>
      <c r="L195" s="85">
        <f>IF(I195="","",(K195)*$G$195)</f>
        <v>17136</v>
      </c>
      <c r="M195" s="705">
        <f t="shared" ref="M195" si="360">IFERROR(AVERAGE(L195:L196),"")</f>
        <v>17600.599999999999</v>
      </c>
      <c r="N195" s="707">
        <f t="shared" ref="N195" si="361">IFERROR(HARMEAN(L195:L196),"")</f>
        <v>17588.336033998839</v>
      </c>
      <c r="O195" s="707">
        <f t="shared" ref="O195" si="362">IFERROR(MEDIAN(L195:L196),"")</f>
        <v>17600.599999999999</v>
      </c>
      <c r="P195" s="25">
        <f t="shared" si="174"/>
        <v>17136</v>
      </c>
      <c r="Q195" s="544">
        <f t="shared" ref="Q195" si="363">IFERROR(SUM(P195:P196)/COUNTA(K195:K196),"")</f>
        <v>17600.599999999999</v>
      </c>
      <c r="R195" s="542">
        <f t="shared" ref="R195" si="364">IFERROR(_xlfn.STDEV.S(L195:L196),"")</f>
        <v>657.04362107854047</v>
      </c>
      <c r="S195" s="545">
        <f t="shared" ref="S195" si="365">IFERROR(R195/M195,"")</f>
        <v>3.7330751285668699E-2</v>
      </c>
      <c r="T195" s="539" t="s">
        <v>2075</v>
      </c>
      <c r="U195" s="540">
        <f t="shared" si="335"/>
        <v>17600.599999999999</v>
      </c>
      <c r="V195" s="695" t="s">
        <v>1350</v>
      </c>
      <c r="W195" s="192" t="s">
        <v>1351</v>
      </c>
    </row>
    <row r="196" spans="1:23" ht="40.5" customHeight="1" x14ac:dyDescent="0.3">
      <c r="A196" s="496"/>
      <c r="B196" s="697"/>
      <c r="C196" s="699"/>
      <c r="D196" s="701"/>
      <c r="E196" s="669"/>
      <c r="F196" s="704"/>
      <c r="G196" s="697"/>
      <c r="H196" s="71" t="s">
        <v>820</v>
      </c>
      <c r="I196" s="32">
        <f t="shared" si="178"/>
        <v>15180.840336134455</v>
      </c>
      <c r="J196" s="33">
        <f t="shared" si="170"/>
        <v>18.999999999999993</v>
      </c>
      <c r="K196" s="195">
        <v>18065.2</v>
      </c>
      <c r="L196" s="85">
        <f>IF(I196="","",(K196)*$G$195)</f>
        <v>18065.2</v>
      </c>
      <c r="M196" s="705"/>
      <c r="N196" s="707"/>
      <c r="O196" s="707"/>
      <c r="P196" s="25">
        <f t="shared" si="174"/>
        <v>18065.2</v>
      </c>
      <c r="Q196" s="544"/>
      <c r="R196" s="542"/>
      <c r="S196" s="545"/>
      <c r="T196" s="539"/>
      <c r="U196" s="540">
        <f t="shared" si="335"/>
        <v>0</v>
      </c>
      <c r="V196" s="712"/>
      <c r="W196" s="190" t="s">
        <v>1352</v>
      </c>
    </row>
    <row r="197" spans="1:23" ht="40.5" customHeight="1" x14ac:dyDescent="0.3">
      <c r="A197" s="496">
        <v>97</v>
      </c>
      <c r="B197" s="697">
        <v>44111516</v>
      </c>
      <c r="C197" s="699" t="s">
        <v>1353</v>
      </c>
      <c r="D197" s="701" t="s">
        <v>1354</v>
      </c>
      <c r="E197" s="713" t="s">
        <v>79</v>
      </c>
      <c r="F197" s="704" t="s">
        <v>570</v>
      </c>
      <c r="G197" s="697">
        <v>1</v>
      </c>
      <c r="H197" s="69" t="s">
        <v>1355</v>
      </c>
      <c r="I197" s="32">
        <f t="shared" si="178"/>
        <v>12900</v>
      </c>
      <c r="J197" s="33">
        <f t="shared" ref="J197:J260" si="366">IF(K197="","",(K197-(K197/1.19))/(K197/1.19)*100)</f>
        <v>19</v>
      </c>
      <c r="K197" s="195">
        <f>(12900*19%)+12900</f>
        <v>15351</v>
      </c>
      <c r="L197" s="85">
        <f>IF(I197="","",(K197)*$G$197)</f>
        <v>15351</v>
      </c>
      <c r="M197" s="705">
        <f t="shared" ref="M197" si="367">IFERROR(AVERAGE(L197:L198),"")</f>
        <v>12733</v>
      </c>
      <c r="N197" s="707">
        <f t="shared" ref="N197" si="368">IFERROR(HARMEAN(L197:L198),"")</f>
        <v>12194.719626168226</v>
      </c>
      <c r="O197" s="707">
        <f t="shared" ref="O197" si="369">IFERROR(MEDIAN(L197:L198),"")</f>
        <v>12733</v>
      </c>
      <c r="P197" s="25">
        <f t="shared" ref="P197:P260" si="370">IF(L197="","",L197)</f>
        <v>15351</v>
      </c>
      <c r="Q197" s="544">
        <f t="shared" ref="Q197" si="371">IFERROR(SUM(P197:P198)/COUNTA(K197:K198),"")</f>
        <v>12733</v>
      </c>
      <c r="R197" s="542">
        <f t="shared" ref="R197" si="372">IFERROR(_xlfn.STDEV.S(L197:L198),"")</f>
        <v>3702.4111062927627</v>
      </c>
      <c r="S197" s="545">
        <f t="shared" ref="S197" si="373">IFERROR(R197/M197,"")</f>
        <v>0.29077288198325318</v>
      </c>
      <c r="T197" s="692" t="s">
        <v>2076</v>
      </c>
      <c r="U197" s="540">
        <f t="shared" si="335"/>
        <v>12733</v>
      </c>
      <c r="V197" s="695" t="s">
        <v>1356</v>
      </c>
      <c r="W197" s="192" t="s">
        <v>1357</v>
      </c>
    </row>
    <row r="198" spans="1:23" ht="40.5" customHeight="1" x14ac:dyDescent="0.3">
      <c r="A198" s="496"/>
      <c r="B198" s="697"/>
      <c r="C198" s="699"/>
      <c r="D198" s="701"/>
      <c r="E198" s="713"/>
      <c r="F198" s="704"/>
      <c r="G198" s="697"/>
      <c r="H198" s="69" t="s">
        <v>1358</v>
      </c>
      <c r="I198" s="32">
        <f t="shared" ref="I198:I261" si="374">IFERROR(K198/((100+J198)/100),"")</f>
        <v>8500</v>
      </c>
      <c r="J198" s="33">
        <f t="shared" si="366"/>
        <v>19</v>
      </c>
      <c r="K198" s="195">
        <f>(8500*19%)+8500</f>
        <v>10115</v>
      </c>
      <c r="L198" s="85">
        <f>IF(I198="","",(K198)*$G$197)</f>
        <v>10115</v>
      </c>
      <c r="M198" s="705"/>
      <c r="N198" s="707"/>
      <c r="O198" s="707"/>
      <c r="P198" s="25">
        <f t="shared" si="370"/>
        <v>10115</v>
      </c>
      <c r="Q198" s="544"/>
      <c r="R198" s="542"/>
      <c r="S198" s="545"/>
      <c r="T198" s="711"/>
      <c r="U198" s="540">
        <f t="shared" si="335"/>
        <v>0</v>
      </c>
      <c r="V198" s="712"/>
      <c r="W198" s="192" t="s">
        <v>1359</v>
      </c>
    </row>
    <row r="199" spans="1:23" ht="40.5" customHeight="1" x14ac:dyDescent="0.3">
      <c r="A199" s="496">
        <v>98</v>
      </c>
      <c r="B199" s="697">
        <v>44111516</v>
      </c>
      <c r="C199" s="699" t="s">
        <v>1360</v>
      </c>
      <c r="D199" s="701" t="s">
        <v>1361</v>
      </c>
      <c r="E199" s="713" t="s">
        <v>79</v>
      </c>
      <c r="F199" s="704" t="s">
        <v>79</v>
      </c>
      <c r="G199" s="697">
        <v>1</v>
      </c>
      <c r="H199" s="69" t="s">
        <v>936</v>
      </c>
      <c r="I199" s="32">
        <f t="shared" si="374"/>
        <v>10420</v>
      </c>
      <c r="J199" s="33">
        <f t="shared" si="366"/>
        <v>18.999999999999993</v>
      </c>
      <c r="K199" s="195">
        <f>(10420*19%)+10420</f>
        <v>12399.8</v>
      </c>
      <c r="L199" s="85">
        <f>IF(I199="","",(K199)*$G$199)</f>
        <v>12399.8</v>
      </c>
      <c r="M199" s="705">
        <f t="shared" ref="M199" si="375">IFERROR(AVERAGE(L199:L200),"")</f>
        <v>13161.4</v>
      </c>
      <c r="N199" s="707">
        <f t="shared" ref="N199" si="376">IFERROR(HARMEAN(L199:L200),"")</f>
        <v>13117.32911392405</v>
      </c>
      <c r="O199" s="707">
        <f t="shared" ref="O199" si="377">IFERROR(MEDIAN(L199:L200),"")</f>
        <v>13161.4</v>
      </c>
      <c r="P199" s="25">
        <f t="shared" si="370"/>
        <v>12399.8</v>
      </c>
      <c r="Q199" s="544">
        <f t="shared" ref="Q199" si="378">IFERROR(SUM(P199:P200)/COUNTA(K199:K200),"")</f>
        <v>13161.4</v>
      </c>
      <c r="R199" s="542">
        <f t="shared" ref="R199" si="379">IFERROR(_xlfn.STDEV.S(L199:L200),"")</f>
        <v>1077.0650491033496</v>
      </c>
      <c r="S199" s="545">
        <f t="shared" ref="S199" si="380">IFERROR(R199/M199,"")</f>
        <v>8.1835142849799383E-2</v>
      </c>
      <c r="T199" s="692" t="s">
        <v>2076</v>
      </c>
      <c r="U199" s="540">
        <f t="shared" si="335"/>
        <v>13161.4</v>
      </c>
      <c r="V199" s="695" t="s">
        <v>1362</v>
      </c>
      <c r="W199" s="192" t="s">
        <v>1363</v>
      </c>
    </row>
    <row r="200" spans="1:23" ht="40.5" customHeight="1" x14ac:dyDescent="0.3">
      <c r="A200" s="496"/>
      <c r="B200" s="697"/>
      <c r="C200" s="699"/>
      <c r="D200" s="701"/>
      <c r="E200" s="713"/>
      <c r="F200" s="704"/>
      <c r="G200" s="697"/>
      <c r="H200" s="69" t="s">
        <v>1358</v>
      </c>
      <c r="I200" s="32">
        <f t="shared" si="374"/>
        <v>11700</v>
      </c>
      <c r="J200" s="33">
        <f t="shared" si="366"/>
        <v>19</v>
      </c>
      <c r="K200" s="195">
        <f>(11700*19%)+11700</f>
        <v>13923</v>
      </c>
      <c r="L200" s="85">
        <f>IF(I200="","",(K200)*$G$199)</f>
        <v>13923</v>
      </c>
      <c r="M200" s="705"/>
      <c r="N200" s="707"/>
      <c r="O200" s="707"/>
      <c r="P200" s="25">
        <f t="shared" si="370"/>
        <v>13923</v>
      </c>
      <c r="Q200" s="544"/>
      <c r="R200" s="542"/>
      <c r="S200" s="545"/>
      <c r="T200" s="711"/>
      <c r="U200" s="540">
        <f t="shared" si="335"/>
        <v>0</v>
      </c>
      <c r="V200" s="712"/>
      <c r="W200" s="192" t="s">
        <v>1364</v>
      </c>
    </row>
    <row r="201" spans="1:23" ht="40.5" customHeight="1" x14ac:dyDescent="0.3">
      <c r="A201" s="496">
        <v>99</v>
      </c>
      <c r="B201" s="697">
        <v>31201503</v>
      </c>
      <c r="C201" s="699" t="s">
        <v>1365</v>
      </c>
      <c r="D201" s="701" t="s">
        <v>1366</v>
      </c>
      <c r="E201" s="713" t="s">
        <v>290</v>
      </c>
      <c r="F201" s="704" t="s">
        <v>1367</v>
      </c>
      <c r="G201" s="697">
        <v>1</v>
      </c>
      <c r="H201" s="69" t="s">
        <v>1368</v>
      </c>
      <c r="I201" s="32">
        <f t="shared" si="374"/>
        <v>11200</v>
      </c>
      <c r="J201" s="33">
        <f t="shared" si="366"/>
        <v>19</v>
      </c>
      <c r="K201" s="195">
        <f>(11200 *19%)+11200</f>
        <v>13328</v>
      </c>
      <c r="L201" s="85">
        <f>IF(I201="","",(K201)*$G$201)</f>
        <v>13328</v>
      </c>
      <c r="M201" s="705">
        <f t="shared" ref="M201" si="381">IFERROR(AVERAGE(L201:L202),"")</f>
        <v>23232.37</v>
      </c>
      <c r="N201" s="707">
        <f t="shared" ref="N201" si="382">IFERROR(HARMEAN(L201:L202),"")</f>
        <v>19009.961993546076</v>
      </c>
      <c r="O201" s="707">
        <f t="shared" ref="O201" si="383">IFERROR(MEDIAN(L201:L202),"")</f>
        <v>23232.37</v>
      </c>
      <c r="P201" s="25">
        <f t="shared" si="370"/>
        <v>13328</v>
      </c>
      <c r="Q201" s="544">
        <f t="shared" ref="Q201" si="384">IFERROR(SUM(P201:P202)/COUNTA(K201:K202),"")</f>
        <v>23232.37</v>
      </c>
      <c r="R201" s="542">
        <f t="shared" ref="R201" si="385">IFERROR(_xlfn.STDEV.S(L201:L202),"")</f>
        <v>14006.89438076121</v>
      </c>
      <c r="S201" s="545">
        <f t="shared" ref="S201" si="386">IFERROR(R201/M201,"")</f>
        <v>0.6029042401081427</v>
      </c>
      <c r="T201" s="692" t="s">
        <v>2076</v>
      </c>
      <c r="U201" s="540">
        <f t="shared" si="335"/>
        <v>23232.37</v>
      </c>
      <c r="V201" s="695" t="s">
        <v>1369</v>
      </c>
      <c r="W201" s="192" t="s">
        <v>1370</v>
      </c>
    </row>
    <row r="202" spans="1:23" ht="40.5" customHeight="1" x14ac:dyDescent="0.3">
      <c r="A202" s="496"/>
      <c r="B202" s="697"/>
      <c r="C202" s="699"/>
      <c r="D202" s="701"/>
      <c r="E202" s="713"/>
      <c r="F202" s="704"/>
      <c r="G202" s="697"/>
      <c r="H202" s="69" t="s">
        <v>1371</v>
      </c>
      <c r="I202" s="32">
        <f t="shared" si="374"/>
        <v>27846</v>
      </c>
      <c r="J202" s="33">
        <f t="shared" si="366"/>
        <v>18.999999999999993</v>
      </c>
      <c r="K202" s="195">
        <f>(27846*19%)+27846</f>
        <v>33136.74</v>
      </c>
      <c r="L202" s="85">
        <f>IF(I202="","",(K202)*$G$201)</f>
        <v>33136.74</v>
      </c>
      <c r="M202" s="705"/>
      <c r="N202" s="707"/>
      <c r="O202" s="707"/>
      <c r="P202" s="25">
        <f t="shared" si="370"/>
        <v>33136.74</v>
      </c>
      <c r="Q202" s="544"/>
      <c r="R202" s="542"/>
      <c r="S202" s="545"/>
      <c r="T202" s="711"/>
      <c r="U202" s="540">
        <f t="shared" si="335"/>
        <v>0</v>
      </c>
      <c r="V202" s="712"/>
      <c r="W202" s="192" t="s">
        <v>1372</v>
      </c>
    </row>
    <row r="203" spans="1:23" ht="40.5" customHeight="1" x14ac:dyDescent="0.3">
      <c r="A203" s="496">
        <v>100</v>
      </c>
      <c r="B203" s="697">
        <v>27112309</v>
      </c>
      <c r="C203" s="699" t="s">
        <v>1373</v>
      </c>
      <c r="D203" s="701" t="s">
        <v>1374</v>
      </c>
      <c r="E203" s="669" t="s">
        <v>373</v>
      </c>
      <c r="F203" s="704" t="s">
        <v>984</v>
      </c>
      <c r="G203" s="697">
        <v>1</v>
      </c>
      <c r="H203" s="71" t="s">
        <v>874</v>
      </c>
      <c r="I203" s="32">
        <f t="shared" si="374"/>
        <v>29481.512605042019</v>
      </c>
      <c r="J203" s="33">
        <f t="shared" si="366"/>
        <v>18.999999999999993</v>
      </c>
      <c r="K203" s="195">
        <v>35083</v>
      </c>
      <c r="L203" s="85">
        <f>IF(I203="","",(K203)*$G$203)</f>
        <v>35083</v>
      </c>
      <c r="M203" s="705">
        <f t="shared" ref="M203" si="387">IFERROR(AVERAGE(L203:L204),"")</f>
        <v>29022.45</v>
      </c>
      <c r="N203" s="707">
        <f t="shared" ref="N203" si="388">IFERROR(HARMEAN(L203:L204),"")</f>
        <v>27756.86882740775</v>
      </c>
      <c r="O203" s="707">
        <f t="shared" ref="O203" si="389">IFERROR(MEDIAN(L203:L204),"")</f>
        <v>29022.45</v>
      </c>
      <c r="P203" s="25">
        <f t="shared" si="370"/>
        <v>35083</v>
      </c>
      <c r="Q203" s="544">
        <f t="shared" ref="Q203" si="390">IFERROR(SUM(P203:P204)/COUNTA(K203:K204),"")</f>
        <v>29022.45</v>
      </c>
      <c r="R203" s="542">
        <f t="shared" ref="R203" si="391">IFERROR(_xlfn.STDEV.S(L203:L204),"")</f>
        <v>8570.9120054402629</v>
      </c>
      <c r="S203" s="545">
        <f t="shared" ref="S203" si="392">IFERROR(R203/M203,"")</f>
        <v>0.29532007137372146</v>
      </c>
      <c r="T203" s="539" t="s">
        <v>881</v>
      </c>
      <c r="U203" s="540">
        <f t="shared" si="335"/>
        <v>29022.45</v>
      </c>
      <c r="V203" s="714" t="s">
        <v>882</v>
      </c>
      <c r="W203" s="190"/>
    </row>
    <row r="204" spans="1:23" ht="40.5" customHeight="1" x14ac:dyDescent="0.3">
      <c r="A204" s="496"/>
      <c r="B204" s="697"/>
      <c r="C204" s="699"/>
      <c r="D204" s="701"/>
      <c r="E204" s="669"/>
      <c r="F204" s="704"/>
      <c r="G204" s="697"/>
      <c r="H204" s="71" t="s">
        <v>820</v>
      </c>
      <c r="I204" s="32">
        <f t="shared" si="374"/>
        <v>19295.714285714286</v>
      </c>
      <c r="J204" s="33">
        <f t="shared" si="366"/>
        <v>19.000000000000004</v>
      </c>
      <c r="K204" s="195">
        <v>22961.9</v>
      </c>
      <c r="L204" s="85">
        <f>IF(I204="","",(K204)*$G$203)</f>
        <v>22961.9</v>
      </c>
      <c r="M204" s="705"/>
      <c r="N204" s="707"/>
      <c r="O204" s="707"/>
      <c r="P204" s="25">
        <f t="shared" si="370"/>
        <v>22961.9</v>
      </c>
      <c r="Q204" s="544"/>
      <c r="R204" s="542"/>
      <c r="S204" s="545"/>
      <c r="T204" s="539"/>
      <c r="U204" s="540">
        <f t="shared" si="335"/>
        <v>0</v>
      </c>
      <c r="V204" s="715"/>
      <c r="W204" s="190"/>
    </row>
    <row r="205" spans="1:23" ht="40.5" customHeight="1" x14ac:dyDescent="0.3">
      <c r="A205" s="496">
        <v>101</v>
      </c>
      <c r="B205" s="697">
        <v>31201503</v>
      </c>
      <c r="C205" s="699" t="s">
        <v>1375</v>
      </c>
      <c r="D205" s="701" t="s">
        <v>1376</v>
      </c>
      <c r="E205" s="713" t="s">
        <v>290</v>
      </c>
      <c r="F205" s="704" t="s">
        <v>1367</v>
      </c>
      <c r="G205" s="697">
        <v>1</v>
      </c>
      <c r="H205" s="69" t="s">
        <v>1368</v>
      </c>
      <c r="I205" s="32">
        <f t="shared" si="374"/>
        <v>11200</v>
      </c>
      <c r="J205" s="33">
        <f t="shared" si="366"/>
        <v>19</v>
      </c>
      <c r="K205" s="195">
        <f>(11200*19%)+11200</f>
        <v>13328</v>
      </c>
      <c r="L205" s="85">
        <f>IF(I205="","",(K205)*$G$205)</f>
        <v>13328</v>
      </c>
      <c r="M205" s="705">
        <f t="shared" ref="M205" si="393">IFERROR(AVERAGE(L205:L206),"")</f>
        <v>19694.5</v>
      </c>
      <c r="N205" s="707">
        <f t="shared" ref="N205" si="394">IFERROR(HARMEAN(L205:L206),"")</f>
        <v>17636.447129909368</v>
      </c>
      <c r="O205" s="707">
        <f t="shared" ref="O205" si="395">IFERROR(MEDIAN(L205:L206),"")</f>
        <v>19694.5</v>
      </c>
      <c r="P205" s="25">
        <f t="shared" si="370"/>
        <v>13328</v>
      </c>
      <c r="Q205" s="544">
        <f t="shared" ref="Q205" si="396">IFERROR(SUM(P205:P206)/COUNTA(K205:K206),"")</f>
        <v>19694.5</v>
      </c>
      <c r="R205" s="542">
        <f t="shared" ref="R205" si="397">IFERROR(_xlfn.STDEV.S(L205:L206),"")</f>
        <v>9003.5906448483092</v>
      </c>
      <c r="S205" s="545">
        <f t="shared" ref="S205" si="398">IFERROR(R205/M205,"")</f>
        <v>0.45716269236834189</v>
      </c>
      <c r="T205" s="692" t="s">
        <v>2076</v>
      </c>
      <c r="U205" s="540">
        <f t="shared" si="335"/>
        <v>19694.5</v>
      </c>
      <c r="V205" s="695" t="s">
        <v>1377</v>
      </c>
      <c r="W205" s="192" t="s">
        <v>1378</v>
      </c>
    </row>
    <row r="206" spans="1:23" ht="40.5" customHeight="1" x14ac:dyDescent="0.3">
      <c r="A206" s="496"/>
      <c r="B206" s="697"/>
      <c r="C206" s="699"/>
      <c r="D206" s="701"/>
      <c r="E206" s="713"/>
      <c r="F206" s="704"/>
      <c r="G206" s="697"/>
      <c r="H206" s="69" t="s">
        <v>1379</v>
      </c>
      <c r="I206" s="32">
        <f t="shared" si="374"/>
        <v>21900</v>
      </c>
      <c r="J206" s="33">
        <f t="shared" si="366"/>
        <v>19</v>
      </c>
      <c r="K206" s="195">
        <f>(21900*19%)+21900</f>
        <v>26061</v>
      </c>
      <c r="L206" s="85">
        <f>IF(I206="","",(K206)*$G$205)</f>
        <v>26061</v>
      </c>
      <c r="M206" s="705"/>
      <c r="N206" s="707"/>
      <c r="O206" s="707"/>
      <c r="P206" s="25">
        <f t="shared" si="370"/>
        <v>26061</v>
      </c>
      <c r="Q206" s="544"/>
      <c r="R206" s="542"/>
      <c r="S206" s="545"/>
      <c r="T206" s="711"/>
      <c r="U206" s="540">
        <f t="shared" si="335"/>
        <v>0</v>
      </c>
      <c r="V206" s="712"/>
      <c r="W206" s="192" t="s">
        <v>1380</v>
      </c>
    </row>
    <row r="207" spans="1:23" ht="40.5" customHeight="1" x14ac:dyDescent="0.3">
      <c r="A207" s="496">
        <v>102</v>
      </c>
      <c r="B207" s="697">
        <v>44121708</v>
      </c>
      <c r="C207" s="699" t="s">
        <v>1381</v>
      </c>
      <c r="D207" s="701" t="s">
        <v>1382</v>
      </c>
      <c r="E207" s="669" t="s">
        <v>373</v>
      </c>
      <c r="F207" s="704" t="s">
        <v>984</v>
      </c>
      <c r="G207" s="697">
        <v>1</v>
      </c>
      <c r="H207" s="69" t="s">
        <v>1383</v>
      </c>
      <c r="I207" s="32">
        <f t="shared" si="374"/>
        <v>19900</v>
      </c>
      <c r="J207" s="33">
        <f t="shared" si="366"/>
        <v>19</v>
      </c>
      <c r="K207" s="195">
        <f>(19900*19%)+19900</f>
        <v>23681</v>
      </c>
      <c r="L207" s="85">
        <f>IF(I207="","",(K207)*$G$207)</f>
        <v>23681</v>
      </c>
      <c r="M207" s="705">
        <f t="shared" ref="M207" si="399">IFERROR(AVERAGE(L207:L208),"")</f>
        <v>21836.5</v>
      </c>
      <c r="N207" s="707">
        <f t="shared" ref="N207" si="400">IFERROR(HARMEAN(L207:L208),"")</f>
        <v>21680.697547683925</v>
      </c>
      <c r="O207" s="707">
        <f t="shared" ref="O207" si="401">IFERROR(MEDIAN(L207:L208),"")</f>
        <v>21836.5</v>
      </c>
      <c r="P207" s="25">
        <f t="shared" si="370"/>
        <v>23681</v>
      </c>
      <c r="Q207" s="544">
        <f t="shared" ref="Q207" si="402">IFERROR(SUM(P207:P208)/COUNTA(K207:K208),"")</f>
        <v>21836.5</v>
      </c>
      <c r="R207" s="542">
        <f t="shared" ref="R207" si="403">IFERROR(_xlfn.STDEV.S(L207:L208),"")</f>
        <v>2608.5169157971736</v>
      </c>
      <c r="S207" s="545">
        <f t="shared" ref="S207" si="404">IFERROR(R207/M207,"")</f>
        <v>0.1194567314266102</v>
      </c>
      <c r="T207" s="692" t="s">
        <v>2076</v>
      </c>
      <c r="U207" s="540">
        <f t="shared" si="335"/>
        <v>21836.5</v>
      </c>
      <c r="V207" s="695" t="s">
        <v>1384</v>
      </c>
      <c r="W207" s="192" t="s">
        <v>1385</v>
      </c>
    </row>
    <row r="208" spans="1:23" ht="40.5" customHeight="1" x14ac:dyDescent="0.3">
      <c r="A208" s="496"/>
      <c r="B208" s="697"/>
      <c r="C208" s="699"/>
      <c r="D208" s="701"/>
      <c r="E208" s="669"/>
      <c r="F208" s="704"/>
      <c r="G208" s="697"/>
      <c r="H208" s="69" t="s">
        <v>1052</v>
      </c>
      <c r="I208" s="32">
        <f t="shared" si="374"/>
        <v>16800</v>
      </c>
      <c r="J208" s="33">
        <f t="shared" si="366"/>
        <v>19</v>
      </c>
      <c r="K208" s="195">
        <f>(16800*19%)+16800</f>
        <v>19992</v>
      </c>
      <c r="L208" s="85">
        <f>IF(I208="","",(K208)*$G$207)</f>
        <v>19992</v>
      </c>
      <c r="M208" s="705"/>
      <c r="N208" s="707"/>
      <c r="O208" s="707"/>
      <c r="P208" s="25">
        <f t="shared" si="370"/>
        <v>19992</v>
      </c>
      <c r="Q208" s="544"/>
      <c r="R208" s="542"/>
      <c r="S208" s="545"/>
      <c r="T208" s="711"/>
      <c r="U208" s="540">
        <f t="shared" si="335"/>
        <v>0</v>
      </c>
      <c r="V208" s="712"/>
      <c r="W208" s="192" t="s">
        <v>1386</v>
      </c>
    </row>
    <row r="209" spans="1:23" ht="40.5" customHeight="1" x14ac:dyDescent="0.3">
      <c r="A209" s="496">
        <v>103</v>
      </c>
      <c r="B209" s="697">
        <v>27112309</v>
      </c>
      <c r="C209" s="699" t="s">
        <v>1387</v>
      </c>
      <c r="D209" s="701" t="s">
        <v>1388</v>
      </c>
      <c r="E209" s="669" t="s">
        <v>141</v>
      </c>
      <c r="F209" s="704" t="s">
        <v>1389</v>
      </c>
      <c r="G209" s="697">
        <v>1</v>
      </c>
      <c r="H209" s="69" t="s">
        <v>1390</v>
      </c>
      <c r="I209" s="32">
        <f t="shared" si="374"/>
        <v>58000</v>
      </c>
      <c r="J209" s="33">
        <f t="shared" si="366"/>
        <v>19</v>
      </c>
      <c r="K209" s="195">
        <f>(58000*19%)+58000</f>
        <v>69020</v>
      </c>
      <c r="L209" s="85">
        <f>IF(I209="","",(K209)*$G$209)</f>
        <v>69020</v>
      </c>
      <c r="M209" s="705">
        <f t="shared" ref="M209" si="405">IFERROR(AVERAGE(L209:L210),"")</f>
        <v>68960.5</v>
      </c>
      <c r="N209" s="707">
        <f t="shared" ref="N209" si="406">IFERROR(HARMEAN(L209:L210),"")</f>
        <v>68960.448662640207</v>
      </c>
      <c r="O209" s="707">
        <f t="shared" ref="O209" si="407">IFERROR(MEDIAN(L209:L210),"")</f>
        <v>68960.5</v>
      </c>
      <c r="P209" s="25">
        <f t="shared" si="370"/>
        <v>69020</v>
      </c>
      <c r="Q209" s="544">
        <f t="shared" ref="Q209" si="408">IFERROR(SUM(P209:P210)/COUNTA(K209:K210),"")</f>
        <v>68960.5</v>
      </c>
      <c r="R209" s="542">
        <f t="shared" ref="R209" si="409">IFERROR(_xlfn.STDEV.S(L209:L210),"")</f>
        <v>84.145706961199153</v>
      </c>
      <c r="S209" s="545">
        <f t="shared" ref="S209" si="410">IFERROR(R209/M209,"")</f>
        <v>1.2202015205980113E-3</v>
      </c>
      <c r="T209" s="692" t="s">
        <v>2076</v>
      </c>
      <c r="U209" s="540">
        <f t="shared" si="335"/>
        <v>68960.5</v>
      </c>
      <c r="V209" s="695" t="s">
        <v>1391</v>
      </c>
      <c r="W209" s="192" t="s">
        <v>1392</v>
      </c>
    </row>
    <row r="210" spans="1:23" ht="40.5" customHeight="1" x14ac:dyDescent="0.3">
      <c r="A210" s="496"/>
      <c r="B210" s="697"/>
      <c r="C210" s="699"/>
      <c r="D210" s="701"/>
      <c r="E210" s="669"/>
      <c r="F210" s="704"/>
      <c r="G210" s="697"/>
      <c r="H210" s="69" t="s">
        <v>1393</v>
      </c>
      <c r="I210" s="32">
        <f t="shared" si="374"/>
        <v>57900</v>
      </c>
      <c r="J210" s="33">
        <f t="shared" si="366"/>
        <v>19</v>
      </c>
      <c r="K210" s="195">
        <f>(57900*19%)+57900</f>
        <v>68901</v>
      </c>
      <c r="L210" s="85">
        <f>IF(I210="","",(K210)*$G$209)</f>
        <v>68901</v>
      </c>
      <c r="M210" s="705"/>
      <c r="N210" s="707"/>
      <c r="O210" s="707"/>
      <c r="P210" s="25">
        <f t="shared" si="370"/>
        <v>68901</v>
      </c>
      <c r="Q210" s="544"/>
      <c r="R210" s="542"/>
      <c r="S210" s="545"/>
      <c r="T210" s="711"/>
      <c r="U210" s="540">
        <f t="shared" si="335"/>
        <v>0</v>
      </c>
      <c r="V210" s="712"/>
      <c r="W210" s="192" t="s">
        <v>1394</v>
      </c>
    </row>
    <row r="211" spans="1:23" ht="40.5" customHeight="1" x14ac:dyDescent="0.3">
      <c r="A211" s="496">
        <v>104</v>
      </c>
      <c r="B211" s="697">
        <v>27112309</v>
      </c>
      <c r="C211" s="699" t="s">
        <v>1395</v>
      </c>
      <c r="D211" s="701" t="s">
        <v>1396</v>
      </c>
      <c r="E211" s="669" t="s">
        <v>141</v>
      </c>
      <c r="F211" s="704" t="s">
        <v>1397</v>
      </c>
      <c r="G211" s="697">
        <v>1</v>
      </c>
      <c r="H211" s="69" t="s">
        <v>1261</v>
      </c>
      <c r="I211" s="32">
        <f t="shared" si="374"/>
        <v>36400</v>
      </c>
      <c r="J211" s="33">
        <f t="shared" si="366"/>
        <v>19</v>
      </c>
      <c r="K211" s="195">
        <f>(36400*19%)+36400</f>
        <v>43316</v>
      </c>
      <c r="L211" s="85">
        <f>IF(I211="","",(K211)*$G$211)</f>
        <v>43316</v>
      </c>
      <c r="M211" s="705">
        <f t="shared" ref="M211" si="411">IFERROR(AVERAGE(L211:L212),"")</f>
        <v>37925</v>
      </c>
      <c r="N211" s="707">
        <f t="shared" ref="N211" si="412">IFERROR(HARMEAN(L211:L212),"")</f>
        <v>37158.674858272905</v>
      </c>
      <c r="O211" s="707">
        <f t="shared" ref="O211" si="413">IFERROR(MEDIAN(L211:L212),"")</f>
        <v>37925</v>
      </c>
      <c r="P211" s="25">
        <f t="shared" si="370"/>
        <v>43316</v>
      </c>
      <c r="Q211" s="544">
        <f t="shared" ref="Q211" si="414">IFERROR(SUM(P211:P212)/COUNTA(K211:K212),"")</f>
        <v>37925</v>
      </c>
      <c r="R211" s="542">
        <f t="shared" ref="R211" si="415">IFERROR(_xlfn.STDEV.S(L211:L212),"")</f>
        <v>7624.0253147533558</v>
      </c>
      <c r="S211" s="545">
        <f t="shared" ref="S211" si="416">IFERROR(R211/M211,"")</f>
        <v>0.20102901291373385</v>
      </c>
      <c r="T211" s="539" t="s">
        <v>2075</v>
      </c>
      <c r="U211" s="540">
        <f t="shared" si="335"/>
        <v>37925</v>
      </c>
      <c r="V211" s="695" t="s">
        <v>1398</v>
      </c>
      <c r="W211" s="192" t="s">
        <v>1399</v>
      </c>
    </row>
    <row r="212" spans="1:23" ht="40.5" customHeight="1" x14ac:dyDescent="0.3">
      <c r="A212" s="496"/>
      <c r="B212" s="697"/>
      <c r="C212" s="699"/>
      <c r="D212" s="701"/>
      <c r="E212" s="669"/>
      <c r="F212" s="704"/>
      <c r="G212" s="697"/>
      <c r="H212" s="69" t="s">
        <v>820</v>
      </c>
      <c r="I212" s="32">
        <f t="shared" si="374"/>
        <v>27339.495798319327</v>
      </c>
      <c r="J212" s="33">
        <f t="shared" si="366"/>
        <v>19.000000000000004</v>
      </c>
      <c r="K212" s="195">
        <v>32534</v>
      </c>
      <c r="L212" s="85">
        <f>IF(I212="","",(K212)*$G$211)</f>
        <v>32534</v>
      </c>
      <c r="M212" s="705"/>
      <c r="N212" s="707"/>
      <c r="O212" s="707"/>
      <c r="P212" s="25">
        <f t="shared" si="370"/>
        <v>32534</v>
      </c>
      <c r="Q212" s="544"/>
      <c r="R212" s="542"/>
      <c r="S212" s="545"/>
      <c r="T212" s="539"/>
      <c r="U212" s="540">
        <f t="shared" si="335"/>
        <v>0</v>
      </c>
      <c r="V212" s="712"/>
      <c r="W212" s="190" t="s">
        <v>1400</v>
      </c>
    </row>
    <row r="213" spans="1:23" ht="40.5" customHeight="1" x14ac:dyDescent="0.3">
      <c r="A213" s="496">
        <v>105</v>
      </c>
      <c r="B213" s="697">
        <v>44121708</v>
      </c>
      <c r="C213" s="699" t="s">
        <v>1401</v>
      </c>
      <c r="D213" s="701" t="s">
        <v>1402</v>
      </c>
      <c r="E213" s="669" t="s">
        <v>373</v>
      </c>
      <c r="F213" s="704" t="s">
        <v>984</v>
      </c>
      <c r="G213" s="697">
        <v>1</v>
      </c>
      <c r="H213" s="69" t="s">
        <v>874</v>
      </c>
      <c r="I213" s="32">
        <f t="shared" si="374"/>
        <v>30630.252100840338</v>
      </c>
      <c r="J213" s="33">
        <f t="shared" si="366"/>
        <v>18.999999999999993</v>
      </c>
      <c r="K213" s="195">
        <v>36450</v>
      </c>
      <c r="L213" s="85">
        <f>IF(I213="","",(K213)*$G$213)</f>
        <v>36450</v>
      </c>
      <c r="M213" s="705">
        <f t="shared" ref="M213" si="417">IFERROR(AVERAGE(L213:L214),"")</f>
        <v>23169.85</v>
      </c>
      <c r="N213" s="707">
        <f t="shared" ref="N213" si="418">IFERROR(HARMEAN(L213:L214),"")</f>
        <v>15558.131148885299</v>
      </c>
      <c r="O213" s="707">
        <f t="shared" ref="O213" si="419">IFERROR(MEDIAN(L213:L214),"")</f>
        <v>23169.85</v>
      </c>
      <c r="P213" s="25">
        <f t="shared" si="370"/>
        <v>36450</v>
      </c>
      <c r="Q213" s="544">
        <f t="shared" ref="Q213" si="420">IFERROR(SUM(P213:P214)/COUNTA(K213:K214),"")</f>
        <v>23169.85</v>
      </c>
      <c r="R213" s="542">
        <f t="shared" ref="R213" si="421">IFERROR(_xlfn.STDEV.S(L213:L214),"")</f>
        <v>18780.968240349059</v>
      </c>
      <c r="S213" s="545">
        <f t="shared" ref="S213" si="422">IFERROR(R213/M213,"")</f>
        <v>0.81057789499496369</v>
      </c>
      <c r="T213" s="539" t="s">
        <v>881</v>
      </c>
      <c r="U213" s="540">
        <f t="shared" si="335"/>
        <v>23169.85</v>
      </c>
      <c r="V213" s="714" t="s">
        <v>882</v>
      </c>
      <c r="W213" s="190"/>
    </row>
    <row r="214" spans="1:23" ht="40.5" customHeight="1" x14ac:dyDescent="0.3">
      <c r="A214" s="496"/>
      <c r="B214" s="697"/>
      <c r="C214" s="699"/>
      <c r="D214" s="701"/>
      <c r="E214" s="669"/>
      <c r="F214" s="704"/>
      <c r="G214" s="697"/>
      <c r="H214" s="69" t="s">
        <v>820</v>
      </c>
      <c r="I214" s="32">
        <f t="shared" si="374"/>
        <v>8310.6722689075632</v>
      </c>
      <c r="J214" s="33">
        <f t="shared" si="366"/>
        <v>19.000000000000007</v>
      </c>
      <c r="K214" s="195">
        <v>9889.7000000000007</v>
      </c>
      <c r="L214" s="85">
        <f>IF(I214="","",(K214)*$G$213)</f>
        <v>9889.7000000000007</v>
      </c>
      <c r="M214" s="705"/>
      <c r="N214" s="707"/>
      <c r="O214" s="707"/>
      <c r="P214" s="25">
        <f t="shared" si="370"/>
        <v>9889.7000000000007</v>
      </c>
      <c r="Q214" s="544"/>
      <c r="R214" s="542"/>
      <c r="S214" s="545"/>
      <c r="T214" s="539"/>
      <c r="U214" s="540">
        <f t="shared" si="335"/>
        <v>0</v>
      </c>
      <c r="V214" s="715"/>
      <c r="W214" s="190"/>
    </row>
    <row r="215" spans="1:23" ht="40.5" customHeight="1" x14ac:dyDescent="0.3">
      <c r="A215" s="496">
        <v>106</v>
      </c>
      <c r="B215" s="697">
        <v>32101622</v>
      </c>
      <c r="C215" s="699" t="s">
        <v>1403</v>
      </c>
      <c r="D215" s="701" t="s">
        <v>1404</v>
      </c>
      <c r="E215" s="669" t="s">
        <v>79</v>
      </c>
      <c r="F215" s="704" t="s">
        <v>79</v>
      </c>
      <c r="G215" s="697">
        <v>1</v>
      </c>
      <c r="H215" s="69" t="s">
        <v>874</v>
      </c>
      <c r="I215" s="32">
        <f t="shared" si="374"/>
        <v>27316.806722689078</v>
      </c>
      <c r="J215" s="33">
        <f t="shared" si="366"/>
        <v>18.999999999999989</v>
      </c>
      <c r="K215" s="195">
        <v>32507</v>
      </c>
      <c r="L215" s="85">
        <f>IF(I215="","",(K215)*$G$215)</f>
        <v>32507</v>
      </c>
      <c r="M215" s="705">
        <f t="shared" ref="M215" si="423">IFERROR(AVERAGE(L215:L216),"")</f>
        <v>24400.25</v>
      </c>
      <c r="N215" s="707">
        <f t="shared" ref="N215" si="424">IFERROR(HARMEAN(L215:L216),"")</f>
        <v>21706.859745289494</v>
      </c>
      <c r="O215" s="707">
        <f t="shared" ref="O215" si="425">IFERROR(MEDIAN(L215:L216),"")</f>
        <v>24400.25</v>
      </c>
      <c r="P215" s="25">
        <f t="shared" si="370"/>
        <v>32507</v>
      </c>
      <c r="Q215" s="544">
        <f t="shared" ref="Q215" si="426">IFERROR(SUM(P215:P216)/COUNTA(K215:K216),"")</f>
        <v>24400.25</v>
      </c>
      <c r="R215" s="542">
        <f t="shared" ref="R215" si="427">IFERROR(_xlfn.STDEV.S(L215:L216),"")</f>
        <v>11464.675796768088</v>
      </c>
      <c r="S215" s="545">
        <f t="shared" ref="S215" si="428">IFERROR(R215/M215,"")</f>
        <v>0.46985894803406064</v>
      </c>
      <c r="T215" s="539" t="s">
        <v>881</v>
      </c>
      <c r="U215" s="540">
        <f t="shared" si="335"/>
        <v>24400.25</v>
      </c>
      <c r="V215" s="714" t="s">
        <v>882</v>
      </c>
      <c r="W215" s="190"/>
    </row>
    <row r="216" spans="1:23" ht="40.5" customHeight="1" x14ac:dyDescent="0.3">
      <c r="A216" s="496"/>
      <c r="B216" s="697"/>
      <c r="C216" s="699"/>
      <c r="D216" s="701"/>
      <c r="E216" s="669"/>
      <c r="F216" s="704"/>
      <c r="G216" s="697"/>
      <c r="H216" s="69" t="s">
        <v>820</v>
      </c>
      <c r="I216" s="32">
        <f t="shared" si="374"/>
        <v>13692.01680672269</v>
      </c>
      <c r="J216" s="33">
        <f t="shared" si="366"/>
        <v>18.999999999999993</v>
      </c>
      <c r="K216" s="195">
        <v>16293.5</v>
      </c>
      <c r="L216" s="85">
        <f>IF(I216="","",(K216)*$G$215)</f>
        <v>16293.5</v>
      </c>
      <c r="M216" s="705"/>
      <c r="N216" s="707"/>
      <c r="O216" s="707"/>
      <c r="P216" s="25">
        <f t="shared" si="370"/>
        <v>16293.5</v>
      </c>
      <c r="Q216" s="544"/>
      <c r="R216" s="542"/>
      <c r="S216" s="545"/>
      <c r="T216" s="539"/>
      <c r="U216" s="540">
        <f t="shared" si="335"/>
        <v>0</v>
      </c>
      <c r="V216" s="715"/>
      <c r="W216" s="190"/>
    </row>
    <row r="217" spans="1:23" ht="40.5" customHeight="1" x14ac:dyDescent="0.25">
      <c r="A217" s="496">
        <v>107</v>
      </c>
      <c r="B217" s="697">
        <v>32101622</v>
      </c>
      <c r="C217" s="699" t="s">
        <v>1405</v>
      </c>
      <c r="D217" s="701" t="s">
        <v>1406</v>
      </c>
      <c r="E217" s="713" t="s">
        <v>79</v>
      </c>
      <c r="F217" s="704" t="s">
        <v>570</v>
      </c>
      <c r="G217" s="697">
        <v>1</v>
      </c>
      <c r="H217" s="69" t="s">
        <v>820</v>
      </c>
      <c r="I217" s="32">
        <f t="shared" si="374"/>
        <v>64112.941176470587</v>
      </c>
      <c r="J217" s="33">
        <f t="shared" si="366"/>
        <v>18.999999999999993</v>
      </c>
      <c r="K217" s="195">
        <v>76294.399999999994</v>
      </c>
      <c r="L217" s="85">
        <f>IF(I217="","",(K217)*$G$217)</f>
        <v>76294.399999999994</v>
      </c>
      <c r="M217" s="705">
        <f t="shared" ref="M217" si="429">IFERROR(AVERAGE(L217:L218),"")</f>
        <v>54747.7</v>
      </c>
      <c r="N217" s="707">
        <f t="shared" ref="N217" si="430">IFERROR(HARMEAN(L217:L218),"")</f>
        <v>46267.703929114825</v>
      </c>
      <c r="O217" s="707">
        <f t="shared" ref="O217" si="431">IFERROR(MEDIAN(L217:L218),"")</f>
        <v>54747.7</v>
      </c>
      <c r="P217" s="25">
        <f t="shared" si="370"/>
        <v>76294.399999999994</v>
      </c>
      <c r="Q217" s="544">
        <f t="shared" ref="Q217" si="432">IFERROR(SUM(P217:P218)/COUNTA(K217:K218),"")</f>
        <v>54747.7</v>
      </c>
      <c r="R217" s="542">
        <f t="shared" ref="R217" si="433">IFERROR(_xlfn.STDEV.S(L217:L218),"")</f>
        <v>30471.635364384361</v>
      </c>
      <c r="S217" s="545">
        <f t="shared" ref="S217" si="434">IFERROR(R217/M217,"")</f>
        <v>0.55658293160049399</v>
      </c>
      <c r="T217" s="539" t="s">
        <v>2075</v>
      </c>
      <c r="U217" s="540">
        <f t="shared" si="335"/>
        <v>54747.7</v>
      </c>
      <c r="V217" s="695" t="s">
        <v>1407</v>
      </c>
      <c r="W217" s="189" t="s">
        <v>822</v>
      </c>
    </row>
    <row r="218" spans="1:23" ht="40.5" customHeight="1" x14ac:dyDescent="0.3">
      <c r="A218" s="496"/>
      <c r="B218" s="697"/>
      <c r="C218" s="699"/>
      <c r="D218" s="701"/>
      <c r="E218" s="713"/>
      <c r="F218" s="704"/>
      <c r="G218" s="697"/>
      <c r="H218" s="69" t="s">
        <v>828</v>
      </c>
      <c r="I218" s="32">
        <f t="shared" si="374"/>
        <v>27900</v>
      </c>
      <c r="J218" s="33">
        <f t="shared" si="366"/>
        <v>19</v>
      </c>
      <c r="K218" s="195">
        <f>(27900*19%)+27900</f>
        <v>33201</v>
      </c>
      <c r="L218" s="85">
        <f>IF(I218="","",(K218)*$G$217)</f>
        <v>33201</v>
      </c>
      <c r="M218" s="705"/>
      <c r="N218" s="707"/>
      <c r="O218" s="707"/>
      <c r="P218" s="25">
        <f t="shared" si="370"/>
        <v>33201</v>
      </c>
      <c r="Q218" s="544"/>
      <c r="R218" s="542"/>
      <c r="S218" s="545"/>
      <c r="T218" s="539"/>
      <c r="U218" s="540">
        <f t="shared" si="335"/>
        <v>0</v>
      </c>
      <c r="V218" s="712"/>
      <c r="W218" s="192" t="s">
        <v>1408</v>
      </c>
    </row>
    <row r="219" spans="1:23" ht="40.5" customHeight="1" x14ac:dyDescent="0.3">
      <c r="A219" s="496">
        <v>108</v>
      </c>
      <c r="B219" s="697">
        <v>44121902</v>
      </c>
      <c r="C219" s="699" t="s">
        <v>1409</v>
      </c>
      <c r="D219" s="701" t="s">
        <v>1410</v>
      </c>
      <c r="E219" s="669" t="s">
        <v>373</v>
      </c>
      <c r="F219" s="704" t="s">
        <v>984</v>
      </c>
      <c r="G219" s="697">
        <v>1</v>
      </c>
      <c r="H219" s="69" t="s">
        <v>820</v>
      </c>
      <c r="I219" s="32">
        <f t="shared" si="374"/>
        <v>19807.142857142859</v>
      </c>
      <c r="J219" s="33">
        <f t="shared" si="366"/>
        <v>18.999999999999993</v>
      </c>
      <c r="K219" s="195">
        <v>23570.5</v>
      </c>
      <c r="L219" s="85">
        <f>IF(I219="","",(K219)*$G$219)</f>
        <v>23570.5</v>
      </c>
      <c r="M219" s="705">
        <f t="shared" ref="M219" si="435">IFERROR(AVERAGE(L219:L220),"")</f>
        <v>21702.75</v>
      </c>
      <c r="N219" s="707">
        <f t="shared" ref="N219" si="436">IFERROR(HARMEAN(L219:L220),"")</f>
        <v>21542.010459503977</v>
      </c>
      <c r="O219" s="707">
        <f t="shared" ref="O219" si="437">IFERROR(MEDIAN(L219:L220),"")</f>
        <v>21702.75</v>
      </c>
      <c r="P219" s="25">
        <f t="shared" si="370"/>
        <v>23570.5</v>
      </c>
      <c r="Q219" s="544">
        <f t="shared" ref="Q219" si="438">IFERROR(SUM(P219:P220)/COUNTA(K219:K220),"")</f>
        <v>21702.75</v>
      </c>
      <c r="R219" s="542">
        <f t="shared" ref="R219" si="439">IFERROR(_xlfn.STDEV.S(L219:L220),"")</f>
        <v>2641.3973811223482</v>
      </c>
      <c r="S219" s="545">
        <f t="shared" ref="S219" si="440">IFERROR(R219/M219,"")</f>
        <v>0.12170795779900465</v>
      </c>
      <c r="T219" s="539" t="s">
        <v>881</v>
      </c>
      <c r="U219" s="540">
        <f t="shared" si="335"/>
        <v>21702.75</v>
      </c>
      <c r="V219" s="714" t="s">
        <v>882</v>
      </c>
      <c r="W219" s="190"/>
    </row>
    <row r="220" spans="1:23" ht="40.5" customHeight="1" x14ac:dyDescent="0.3">
      <c r="A220" s="496"/>
      <c r="B220" s="697"/>
      <c r="C220" s="699"/>
      <c r="D220" s="701"/>
      <c r="E220" s="669"/>
      <c r="F220" s="704"/>
      <c r="G220" s="697"/>
      <c r="H220" s="69" t="s">
        <v>874</v>
      </c>
      <c r="I220" s="32">
        <f t="shared" si="374"/>
        <v>16668.067226890758</v>
      </c>
      <c r="J220" s="33">
        <f t="shared" si="366"/>
        <v>18.999999999999986</v>
      </c>
      <c r="K220" s="195">
        <v>19835</v>
      </c>
      <c r="L220" s="85">
        <f>IF(I220="","",(K220)*$G$219)</f>
        <v>19835</v>
      </c>
      <c r="M220" s="705"/>
      <c r="N220" s="707"/>
      <c r="O220" s="707"/>
      <c r="P220" s="25">
        <f t="shared" si="370"/>
        <v>19835</v>
      </c>
      <c r="Q220" s="544"/>
      <c r="R220" s="542"/>
      <c r="S220" s="545"/>
      <c r="T220" s="539"/>
      <c r="U220" s="540">
        <f t="shared" si="335"/>
        <v>0</v>
      </c>
      <c r="V220" s="715"/>
      <c r="W220" s="190"/>
    </row>
    <row r="221" spans="1:23" ht="40.5" customHeight="1" x14ac:dyDescent="0.3">
      <c r="A221" s="496">
        <v>109</v>
      </c>
      <c r="B221" s="697">
        <v>48101905</v>
      </c>
      <c r="C221" s="699" t="s">
        <v>1411</v>
      </c>
      <c r="D221" s="701" t="s">
        <v>1412</v>
      </c>
      <c r="E221" s="669" t="s">
        <v>79</v>
      </c>
      <c r="F221" s="704" t="s">
        <v>901</v>
      </c>
      <c r="G221" s="697">
        <v>1</v>
      </c>
      <c r="H221" s="69" t="s">
        <v>722</v>
      </c>
      <c r="I221" s="32">
        <f t="shared" si="374"/>
        <v>15000</v>
      </c>
      <c r="J221" s="33">
        <f t="shared" si="366"/>
        <v>19</v>
      </c>
      <c r="K221" s="195">
        <f>(15000*19%)+15000</f>
        <v>17850</v>
      </c>
      <c r="L221" s="85">
        <f>IF(I221="","",(K221)*$G$221)</f>
        <v>17850</v>
      </c>
      <c r="M221" s="705">
        <f t="shared" ref="M221" si="441">IFERROR(AVERAGE(L221:L222),"")</f>
        <v>14696.5</v>
      </c>
      <c r="N221" s="707">
        <f t="shared" ref="N221" si="442">IFERROR(HARMEAN(L221:L222),"")</f>
        <v>14019.838056680162</v>
      </c>
      <c r="O221" s="707">
        <f t="shared" ref="O221" si="443">IFERROR(MEDIAN(L221:L222),"")</f>
        <v>14696.5</v>
      </c>
      <c r="P221" s="25">
        <f t="shared" si="370"/>
        <v>17850</v>
      </c>
      <c r="Q221" s="544">
        <f t="shared" ref="Q221" si="444">IFERROR(SUM(P221:P222)/COUNTA(K221:K222),"")</f>
        <v>14696.5</v>
      </c>
      <c r="R221" s="542">
        <f t="shared" ref="R221" si="445">IFERROR(_xlfn.STDEV.S(L221:L222),"")</f>
        <v>4459.7224689435552</v>
      </c>
      <c r="S221" s="545">
        <f t="shared" ref="S221" si="446">IFERROR(R221/M221,"")</f>
        <v>0.30345473200718232</v>
      </c>
      <c r="T221" s="692" t="s">
        <v>2076</v>
      </c>
      <c r="U221" s="540">
        <f t="shared" si="335"/>
        <v>14696.5</v>
      </c>
      <c r="V221" s="695" t="s">
        <v>1413</v>
      </c>
      <c r="W221" s="192" t="s">
        <v>1414</v>
      </c>
    </row>
    <row r="222" spans="1:23" ht="40.5" customHeight="1" x14ac:dyDescent="0.3">
      <c r="A222" s="496"/>
      <c r="B222" s="697"/>
      <c r="C222" s="699"/>
      <c r="D222" s="701"/>
      <c r="E222" s="669"/>
      <c r="F222" s="704"/>
      <c r="G222" s="697"/>
      <c r="H222" s="69" t="s">
        <v>1415</v>
      </c>
      <c r="I222" s="32">
        <f t="shared" si="374"/>
        <v>9700</v>
      </c>
      <c r="J222" s="33">
        <f t="shared" si="366"/>
        <v>19</v>
      </c>
      <c r="K222" s="195">
        <f>(9700*19%)+9700</f>
        <v>11543</v>
      </c>
      <c r="L222" s="85">
        <f>IF(I222="","",(K222)*$G$221)</f>
        <v>11543</v>
      </c>
      <c r="M222" s="705"/>
      <c r="N222" s="707"/>
      <c r="O222" s="707"/>
      <c r="P222" s="25">
        <f t="shared" si="370"/>
        <v>11543</v>
      </c>
      <c r="Q222" s="544"/>
      <c r="R222" s="542"/>
      <c r="S222" s="545"/>
      <c r="T222" s="711"/>
      <c r="U222" s="540">
        <f t="shared" si="335"/>
        <v>0</v>
      </c>
      <c r="V222" s="712"/>
      <c r="W222" s="192" t="s">
        <v>1416</v>
      </c>
    </row>
    <row r="223" spans="1:23" ht="40.5" customHeight="1" x14ac:dyDescent="0.3">
      <c r="A223" s="496">
        <v>110</v>
      </c>
      <c r="B223" s="697">
        <v>60121000</v>
      </c>
      <c r="C223" s="699" t="s">
        <v>1417</v>
      </c>
      <c r="D223" s="701" t="s">
        <v>1418</v>
      </c>
      <c r="E223" s="713" t="s">
        <v>290</v>
      </c>
      <c r="F223" s="704" t="s">
        <v>1131</v>
      </c>
      <c r="G223" s="697">
        <v>1</v>
      </c>
      <c r="H223" s="69" t="s">
        <v>722</v>
      </c>
      <c r="I223" s="32">
        <f t="shared" si="374"/>
        <v>14900</v>
      </c>
      <c r="J223" s="33">
        <f t="shared" si="366"/>
        <v>19</v>
      </c>
      <c r="K223" s="195">
        <f>(14900*19%)+14900</f>
        <v>17731</v>
      </c>
      <c r="L223" s="85">
        <f>IF(I223="","",(K223)*$G$223)</f>
        <v>17731</v>
      </c>
      <c r="M223" s="705">
        <f t="shared" ref="M223" si="447">IFERROR(AVERAGE(L223:L224),"")</f>
        <v>13328</v>
      </c>
      <c r="N223" s="707">
        <f t="shared" ref="N223" si="448">IFERROR(HARMEAN(L223:L224),"")</f>
        <v>11873.4375</v>
      </c>
      <c r="O223" s="707">
        <f t="shared" ref="O223" si="449">IFERROR(MEDIAN(L223:L224),"")</f>
        <v>13328</v>
      </c>
      <c r="P223" s="25">
        <f t="shared" si="370"/>
        <v>17731</v>
      </c>
      <c r="Q223" s="544">
        <f t="shared" ref="Q223" si="450">IFERROR(SUM(P223:P224)/COUNTA(K223:K224),"")</f>
        <v>13328</v>
      </c>
      <c r="R223" s="542">
        <f t="shared" ref="R223" si="451">IFERROR(_xlfn.STDEV.S(L223:L224),"")</f>
        <v>6226.7823151287375</v>
      </c>
      <c r="S223" s="545">
        <f t="shared" ref="S223" si="452">IFERROR(R223/M223,"")</f>
        <v>0.46719555185539746</v>
      </c>
      <c r="T223" s="692" t="s">
        <v>2076</v>
      </c>
      <c r="U223" s="540">
        <f t="shared" si="335"/>
        <v>13328</v>
      </c>
      <c r="V223" s="695" t="s">
        <v>1419</v>
      </c>
      <c r="W223" s="192" t="s">
        <v>1420</v>
      </c>
    </row>
    <row r="224" spans="1:23" ht="40.5" customHeight="1" x14ac:dyDescent="0.3">
      <c r="A224" s="496"/>
      <c r="B224" s="697"/>
      <c r="C224" s="699"/>
      <c r="D224" s="701"/>
      <c r="E224" s="713"/>
      <c r="F224" s="704"/>
      <c r="G224" s="697"/>
      <c r="H224" s="69" t="s">
        <v>1052</v>
      </c>
      <c r="I224" s="32">
        <f t="shared" si="374"/>
        <v>7500</v>
      </c>
      <c r="J224" s="33">
        <f t="shared" si="366"/>
        <v>19</v>
      </c>
      <c r="K224" s="195">
        <f>(7500*19%)+7500</f>
        <v>8925</v>
      </c>
      <c r="L224" s="85">
        <f>IF(I224="","",(K224)*$G$223)</f>
        <v>8925</v>
      </c>
      <c r="M224" s="705"/>
      <c r="N224" s="707"/>
      <c r="O224" s="707"/>
      <c r="P224" s="25">
        <f t="shared" si="370"/>
        <v>8925</v>
      </c>
      <c r="Q224" s="544"/>
      <c r="R224" s="542"/>
      <c r="S224" s="545"/>
      <c r="T224" s="711"/>
      <c r="U224" s="540">
        <f t="shared" si="335"/>
        <v>0</v>
      </c>
      <c r="V224" s="712"/>
      <c r="W224" s="192" t="s">
        <v>1421</v>
      </c>
    </row>
    <row r="225" spans="1:23" ht="40.5" customHeight="1" x14ac:dyDescent="0.3">
      <c r="A225" s="496">
        <v>111</v>
      </c>
      <c r="B225" s="697">
        <v>14111510</v>
      </c>
      <c r="C225" s="699" t="s">
        <v>1422</v>
      </c>
      <c r="D225" s="701" t="s">
        <v>1423</v>
      </c>
      <c r="E225" s="713" t="s">
        <v>290</v>
      </c>
      <c r="F225" s="704" t="s">
        <v>290</v>
      </c>
      <c r="G225" s="697">
        <v>1</v>
      </c>
      <c r="H225" s="69" t="s">
        <v>1371</v>
      </c>
      <c r="I225" s="32">
        <f t="shared" si="374"/>
        <v>26478</v>
      </c>
      <c r="J225" s="33">
        <f t="shared" si="366"/>
        <v>19</v>
      </c>
      <c r="K225" s="195">
        <f>(26478*19%)+26478</f>
        <v>31508.82</v>
      </c>
      <c r="L225" s="85">
        <f>IF(I225="","",(K225)*$G$225)</f>
        <v>31508.82</v>
      </c>
      <c r="M225" s="705">
        <f t="shared" ref="M225" si="453">IFERROR(AVERAGE(L225:L226),"")</f>
        <v>41517.410000000003</v>
      </c>
      <c r="N225" s="707">
        <f t="shared" ref="N225" si="454">IFERROR(HARMEAN(L225:L226),"")</f>
        <v>39104.642108455228</v>
      </c>
      <c r="O225" s="707">
        <f t="shared" ref="O225" si="455">IFERROR(MEDIAN(L225:L226),"")</f>
        <v>41517.410000000003</v>
      </c>
      <c r="P225" s="25">
        <f t="shared" si="370"/>
        <v>31508.82</v>
      </c>
      <c r="Q225" s="544">
        <f t="shared" ref="Q225" si="456">IFERROR(SUM(P225:P226)/COUNTA(K225:K226),"")</f>
        <v>41517.410000000003</v>
      </c>
      <c r="R225" s="542">
        <f t="shared" ref="R225" si="457">IFERROR(_xlfn.STDEV.S(L225:L226),"")</f>
        <v>14154.283718231718</v>
      </c>
      <c r="S225" s="545">
        <f t="shared" ref="S225" si="458">IFERROR(R225/M225,"")</f>
        <v>0.34092405374592771</v>
      </c>
      <c r="T225" s="539" t="s">
        <v>2075</v>
      </c>
      <c r="U225" s="540">
        <f t="shared" si="335"/>
        <v>41517.410000000003</v>
      </c>
      <c r="V225" s="718" t="s">
        <v>1424</v>
      </c>
      <c r="W225" s="192" t="s">
        <v>1425</v>
      </c>
    </row>
    <row r="226" spans="1:23" ht="40.5" customHeight="1" x14ac:dyDescent="0.3">
      <c r="A226" s="496"/>
      <c r="B226" s="697"/>
      <c r="C226" s="699"/>
      <c r="D226" s="701"/>
      <c r="E226" s="713"/>
      <c r="F226" s="704"/>
      <c r="G226" s="697"/>
      <c r="H226" s="69" t="s">
        <v>874</v>
      </c>
      <c r="I226" s="32">
        <f t="shared" si="374"/>
        <v>43299.159663865546</v>
      </c>
      <c r="J226" s="33">
        <f t="shared" si="366"/>
        <v>19</v>
      </c>
      <c r="K226" s="195">
        <v>51526</v>
      </c>
      <c r="L226" s="85">
        <f>IF(I226="","",(K226)*$G$225)</f>
        <v>51526</v>
      </c>
      <c r="M226" s="705"/>
      <c r="N226" s="707"/>
      <c r="O226" s="707"/>
      <c r="P226" s="25">
        <f t="shared" si="370"/>
        <v>51526</v>
      </c>
      <c r="Q226" s="544"/>
      <c r="R226" s="542"/>
      <c r="S226" s="545"/>
      <c r="T226" s="539"/>
      <c r="U226" s="540">
        <f t="shared" si="335"/>
        <v>0</v>
      </c>
      <c r="V226" s="719"/>
      <c r="W226" s="190" t="s">
        <v>1426</v>
      </c>
    </row>
    <row r="227" spans="1:23" ht="40.5" customHeight="1" x14ac:dyDescent="0.3">
      <c r="A227" s="496">
        <v>112</v>
      </c>
      <c r="B227" s="697">
        <v>60101728</v>
      </c>
      <c r="C227" s="699" t="s">
        <v>1427</v>
      </c>
      <c r="D227" s="701" t="s">
        <v>1428</v>
      </c>
      <c r="E227" s="669" t="s">
        <v>79</v>
      </c>
      <c r="F227" s="704" t="s">
        <v>570</v>
      </c>
      <c r="G227" s="697">
        <v>1</v>
      </c>
      <c r="H227" s="69" t="s">
        <v>1429</v>
      </c>
      <c r="I227" s="32">
        <f t="shared" si="374"/>
        <v>59343</v>
      </c>
      <c r="J227" s="33">
        <f t="shared" si="366"/>
        <v>18.999999999999996</v>
      </c>
      <c r="K227" s="195">
        <f>(59343*19%)+59343</f>
        <v>70618.17</v>
      </c>
      <c r="L227" s="85">
        <f>IF(I227="","",(K227)*$G$227)</f>
        <v>70618.17</v>
      </c>
      <c r="M227" s="705">
        <f t="shared" ref="M227" si="459">IFERROR(AVERAGE(L227:L228),"")</f>
        <v>66983.91</v>
      </c>
      <c r="N227" s="707">
        <f t="shared" ref="N227" si="460">IFERROR(HARMEAN(L227:L228),"")</f>
        <v>66786.730621435796</v>
      </c>
      <c r="O227" s="707">
        <f t="shared" ref="O227" si="461">IFERROR(MEDIAN(L227:L228),"")</f>
        <v>66983.91</v>
      </c>
      <c r="P227" s="25">
        <f t="shared" si="370"/>
        <v>70618.17</v>
      </c>
      <c r="Q227" s="544">
        <f t="shared" ref="Q227" si="462">IFERROR(SUM(P227:P228)/COUNTA(K227:K228),"")</f>
        <v>66983.91</v>
      </c>
      <c r="R227" s="542">
        <f t="shared" ref="R227" si="463">IFERROR(_xlfn.STDEV.S(L227:L228),"")</f>
        <v>5139.619781190042</v>
      </c>
      <c r="S227" s="545">
        <f t="shared" ref="S227" si="464">IFERROR(R227/M227,"")</f>
        <v>7.6729169455620638E-2</v>
      </c>
      <c r="T227" s="692" t="s">
        <v>2076</v>
      </c>
      <c r="U227" s="540">
        <f t="shared" si="335"/>
        <v>66983.91</v>
      </c>
      <c r="V227" s="695" t="s">
        <v>1430</v>
      </c>
      <c r="W227" s="192" t="s">
        <v>1431</v>
      </c>
    </row>
    <row r="228" spans="1:23" ht="40.5" customHeight="1" x14ac:dyDescent="0.3">
      <c r="A228" s="496"/>
      <c r="B228" s="697"/>
      <c r="C228" s="699"/>
      <c r="D228" s="701"/>
      <c r="E228" s="669"/>
      <c r="F228" s="704"/>
      <c r="G228" s="697"/>
      <c r="H228" s="69" t="s">
        <v>1432</v>
      </c>
      <c r="I228" s="32">
        <f t="shared" si="374"/>
        <v>53235</v>
      </c>
      <c r="J228" s="33">
        <f t="shared" si="366"/>
        <v>19.000000000000004</v>
      </c>
      <c r="K228" s="195">
        <f>(53235*19%)+53235</f>
        <v>63349.65</v>
      </c>
      <c r="L228" s="85">
        <f>IF(I228="","",(K228)*$G$227)</f>
        <v>63349.65</v>
      </c>
      <c r="M228" s="705"/>
      <c r="N228" s="707"/>
      <c r="O228" s="707"/>
      <c r="P228" s="25">
        <f t="shared" si="370"/>
        <v>63349.65</v>
      </c>
      <c r="Q228" s="544"/>
      <c r="R228" s="542"/>
      <c r="S228" s="545"/>
      <c r="T228" s="711"/>
      <c r="U228" s="540">
        <f t="shared" si="335"/>
        <v>0</v>
      </c>
      <c r="V228" s="712"/>
      <c r="W228" s="192" t="s">
        <v>1433</v>
      </c>
    </row>
    <row r="229" spans="1:23" ht="40.5" customHeight="1" x14ac:dyDescent="0.3">
      <c r="A229" s="496">
        <v>113</v>
      </c>
      <c r="B229" s="697">
        <v>14111530</v>
      </c>
      <c r="C229" s="699" t="s">
        <v>1434</v>
      </c>
      <c r="D229" s="701" t="s">
        <v>1435</v>
      </c>
      <c r="E229" s="713" t="s">
        <v>72</v>
      </c>
      <c r="F229" s="704" t="s">
        <v>1436</v>
      </c>
      <c r="G229" s="697">
        <v>1</v>
      </c>
      <c r="H229" s="69" t="s">
        <v>1437</v>
      </c>
      <c r="I229" s="32">
        <f t="shared" si="374"/>
        <v>48000</v>
      </c>
      <c r="J229" s="33">
        <f t="shared" si="366"/>
        <v>19</v>
      </c>
      <c r="K229" s="195">
        <f>(48000*19%)+48000</f>
        <v>57120</v>
      </c>
      <c r="L229" s="85">
        <f>IF(I229="","",(K229)*$G$229)</f>
        <v>57120</v>
      </c>
      <c r="M229" s="705">
        <f t="shared" ref="M229" si="465">IFERROR(AVERAGE(L229:L230),"")</f>
        <v>63302.05</v>
      </c>
      <c r="N229" s="707">
        <f t="shared" ref="N229" si="466">IFERROR(HARMEAN(L229:L230),"")</f>
        <v>62698.313751292415</v>
      </c>
      <c r="O229" s="707">
        <f t="shared" ref="O229" si="467">IFERROR(MEDIAN(L229:L230),"")</f>
        <v>63302.05</v>
      </c>
      <c r="P229" s="25">
        <f t="shared" si="370"/>
        <v>57120</v>
      </c>
      <c r="Q229" s="544">
        <f t="shared" ref="Q229" si="468">IFERROR(SUM(P229:P230)/COUNTA(K229:K230),"")</f>
        <v>63302.05</v>
      </c>
      <c r="R229" s="542">
        <f t="shared" ref="R229" si="469">IFERROR(_xlfn.STDEV.S(L229:L230),"")</f>
        <v>8742.7389532685975</v>
      </c>
      <c r="S229" s="545">
        <f t="shared" ref="S229" si="470">IFERROR(R229/M229,"")</f>
        <v>0.13811146642594666</v>
      </c>
      <c r="T229" s="692" t="s">
        <v>2076</v>
      </c>
      <c r="U229" s="540">
        <f t="shared" si="335"/>
        <v>63302.05</v>
      </c>
      <c r="V229" s="695" t="s">
        <v>1438</v>
      </c>
      <c r="W229" s="192" t="s">
        <v>1439</v>
      </c>
    </row>
    <row r="230" spans="1:23" ht="40.5" customHeight="1" x14ac:dyDescent="0.3">
      <c r="A230" s="496"/>
      <c r="B230" s="697"/>
      <c r="C230" s="699"/>
      <c r="D230" s="701"/>
      <c r="E230" s="713"/>
      <c r="F230" s="704"/>
      <c r="G230" s="697"/>
      <c r="H230" s="69" t="s">
        <v>722</v>
      </c>
      <c r="I230" s="32">
        <f t="shared" si="374"/>
        <v>58390.000000000007</v>
      </c>
      <c r="J230" s="33">
        <f t="shared" si="366"/>
        <v>18.999999999999993</v>
      </c>
      <c r="K230" s="195">
        <f>(58390*19%)+58390</f>
        <v>69484.100000000006</v>
      </c>
      <c r="L230" s="85">
        <f>IF(I230="","",(K230)*$G$229)</f>
        <v>69484.100000000006</v>
      </c>
      <c r="M230" s="705"/>
      <c r="N230" s="707"/>
      <c r="O230" s="707"/>
      <c r="P230" s="25">
        <f t="shared" si="370"/>
        <v>69484.100000000006</v>
      </c>
      <c r="Q230" s="544"/>
      <c r="R230" s="542"/>
      <c r="S230" s="545"/>
      <c r="T230" s="711"/>
      <c r="U230" s="540">
        <f t="shared" si="335"/>
        <v>0</v>
      </c>
      <c r="V230" s="712"/>
      <c r="W230" s="192" t="s">
        <v>1440</v>
      </c>
    </row>
    <row r="231" spans="1:23" ht="40.5" customHeight="1" x14ac:dyDescent="0.3">
      <c r="A231" s="496">
        <v>114</v>
      </c>
      <c r="B231" s="697">
        <v>60121120</v>
      </c>
      <c r="C231" s="699" t="s">
        <v>1441</v>
      </c>
      <c r="D231" s="701" t="s">
        <v>1442</v>
      </c>
      <c r="E231" s="713" t="s">
        <v>290</v>
      </c>
      <c r="F231" s="704" t="s">
        <v>290</v>
      </c>
      <c r="G231" s="697">
        <v>1</v>
      </c>
      <c r="H231" s="69" t="s">
        <v>1122</v>
      </c>
      <c r="I231" s="32">
        <f t="shared" si="374"/>
        <v>21400</v>
      </c>
      <c r="J231" s="33">
        <f t="shared" si="366"/>
        <v>19</v>
      </c>
      <c r="K231" s="195">
        <f>(21400*19%)+21400</f>
        <v>25466</v>
      </c>
      <c r="L231" s="85">
        <f>IF(I231="","",(K231)*$G$231)</f>
        <v>25466</v>
      </c>
      <c r="M231" s="705">
        <f t="shared" ref="M231" si="471">IFERROR(AVERAGE(L231:L232),"")</f>
        <v>25105.5</v>
      </c>
      <c r="N231" s="707">
        <f t="shared" ref="N231" si="472">IFERROR(HARMEAN(L231:L232),"")</f>
        <v>25100.323435103863</v>
      </c>
      <c r="O231" s="707">
        <f t="shared" ref="O231" si="473">IFERROR(MEDIAN(L231:L232),"")</f>
        <v>25105.5</v>
      </c>
      <c r="P231" s="25">
        <f t="shared" si="370"/>
        <v>25466</v>
      </c>
      <c r="Q231" s="544">
        <f t="shared" ref="Q231" si="474">IFERROR(SUM(P231:P232)/COUNTA(K231:K232),"")</f>
        <v>25105.5</v>
      </c>
      <c r="R231" s="542">
        <f t="shared" ref="R231" si="475">IFERROR(_xlfn.STDEV.S(L231:L232),"")</f>
        <v>509.82398923550079</v>
      </c>
      <c r="S231" s="545">
        <f t="shared" ref="S231" si="476">IFERROR(R231/M231,"")</f>
        <v>2.030726291989806E-2</v>
      </c>
      <c r="T231" s="539" t="s">
        <v>2075</v>
      </c>
      <c r="U231" s="540">
        <f t="shared" si="335"/>
        <v>25105.5</v>
      </c>
      <c r="V231" s="716" t="s">
        <v>1443</v>
      </c>
      <c r="W231" s="192" t="s">
        <v>1444</v>
      </c>
    </row>
    <row r="232" spans="1:23" ht="40.5" customHeight="1" x14ac:dyDescent="0.3">
      <c r="A232" s="496"/>
      <c r="B232" s="697"/>
      <c r="C232" s="699"/>
      <c r="D232" s="701"/>
      <c r="E232" s="713"/>
      <c r="F232" s="704"/>
      <c r="G232" s="697"/>
      <c r="H232" s="69" t="s">
        <v>874</v>
      </c>
      <c r="I232" s="32">
        <f t="shared" si="374"/>
        <v>20794.117647058825</v>
      </c>
      <c r="J232" s="33">
        <f t="shared" si="366"/>
        <v>18.999999999999989</v>
      </c>
      <c r="K232" s="195">
        <v>24745</v>
      </c>
      <c r="L232" s="85">
        <f>IF(I232="","",(K232)*$G$231)</f>
        <v>24745</v>
      </c>
      <c r="M232" s="705"/>
      <c r="N232" s="707"/>
      <c r="O232" s="707"/>
      <c r="P232" s="25">
        <f t="shared" si="370"/>
        <v>24745</v>
      </c>
      <c r="Q232" s="544"/>
      <c r="R232" s="542"/>
      <c r="S232" s="545"/>
      <c r="T232" s="539"/>
      <c r="U232" s="540">
        <f t="shared" si="335"/>
        <v>0</v>
      </c>
      <c r="V232" s="717"/>
      <c r="W232" s="190" t="s">
        <v>1426</v>
      </c>
    </row>
    <row r="233" spans="1:23" ht="40.5" customHeight="1" x14ac:dyDescent="0.3">
      <c r="A233" s="496">
        <v>115</v>
      </c>
      <c r="B233" s="697">
        <v>14111514</v>
      </c>
      <c r="C233" s="699" t="s">
        <v>1445</v>
      </c>
      <c r="D233" s="701" t="s">
        <v>1446</v>
      </c>
      <c r="E233" s="713" t="s">
        <v>72</v>
      </c>
      <c r="F233" s="704" t="s">
        <v>1447</v>
      </c>
      <c r="G233" s="697">
        <v>1</v>
      </c>
      <c r="H233" s="69" t="s">
        <v>722</v>
      </c>
      <c r="I233" s="32">
        <f t="shared" si="374"/>
        <v>35000</v>
      </c>
      <c r="J233" s="33">
        <f t="shared" si="366"/>
        <v>19</v>
      </c>
      <c r="K233" s="195">
        <f>(35000*19%)+35000</f>
        <v>41650</v>
      </c>
      <c r="L233" s="85">
        <f>IF(I233="","",(K233)*$G$233)</f>
        <v>41650</v>
      </c>
      <c r="M233" s="705">
        <f t="shared" ref="M233" si="477">IFERROR(AVERAGE(L233:L234),"")</f>
        <v>41650</v>
      </c>
      <c r="N233" s="707">
        <f t="shared" ref="N233" si="478">IFERROR(HARMEAN(L233:L234),"")</f>
        <v>41650</v>
      </c>
      <c r="O233" s="707">
        <f t="shared" ref="O233" si="479">IFERROR(MEDIAN(L233:L234),"")</f>
        <v>41650</v>
      </c>
      <c r="P233" s="25">
        <f t="shared" si="370"/>
        <v>41650</v>
      </c>
      <c r="Q233" s="544">
        <f t="shared" ref="Q233" si="480">IFERROR(SUM(P233:P234)/COUNTA(K233:K234),"")</f>
        <v>41650</v>
      </c>
      <c r="R233" s="542">
        <f t="shared" ref="R233" si="481">IFERROR(_xlfn.STDEV.S(L233:L234),"")</f>
        <v>0</v>
      </c>
      <c r="S233" s="545">
        <f t="shared" ref="S233" si="482">IFERROR(R233/M233,"")</f>
        <v>0</v>
      </c>
      <c r="T233" s="692" t="s">
        <v>2076</v>
      </c>
      <c r="U233" s="540">
        <f t="shared" si="335"/>
        <v>41650</v>
      </c>
      <c r="V233" s="695" t="s">
        <v>1448</v>
      </c>
      <c r="W233" s="192" t="s">
        <v>1449</v>
      </c>
    </row>
    <row r="234" spans="1:23" ht="40.5" customHeight="1" x14ac:dyDescent="0.3">
      <c r="A234" s="496"/>
      <c r="B234" s="697"/>
      <c r="C234" s="699"/>
      <c r="D234" s="701"/>
      <c r="E234" s="713"/>
      <c r="F234" s="704"/>
      <c r="G234" s="697"/>
      <c r="H234" s="69" t="s">
        <v>1450</v>
      </c>
      <c r="I234" s="32">
        <f t="shared" si="374"/>
        <v>35000</v>
      </c>
      <c r="J234" s="33">
        <f t="shared" si="366"/>
        <v>19</v>
      </c>
      <c r="K234" s="195">
        <f>(35000*19%)+35000</f>
        <v>41650</v>
      </c>
      <c r="L234" s="85">
        <f>IF(I234="","",(K234)*$G$233)</f>
        <v>41650</v>
      </c>
      <c r="M234" s="705"/>
      <c r="N234" s="707"/>
      <c r="O234" s="707"/>
      <c r="P234" s="25">
        <f t="shared" si="370"/>
        <v>41650</v>
      </c>
      <c r="Q234" s="544"/>
      <c r="R234" s="542"/>
      <c r="S234" s="545"/>
      <c r="T234" s="711"/>
      <c r="U234" s="540">
        <f t="shared" si="335"/>
        <v>0</v>
      </c>
      <c r="V234" s="712"/>
      <c r="W234" s="192" t="s">
        <v>1451</v>
      </c>
    </row>
    <row r="235" spans="1:23" ht="40.5" customHeight="1" x14ac:dyDescent="0.3">
      <c r="A235" s="496">
        <v>116</v>
      </c>
      <c r="B235" s="697">
        <v>14111530</v>
      </c>
      <c r="C235" s="699" t="s">
        <v>1452</v>
      </c>
      <c r="D235" s="701" t="s">
        <v>1453</v>
      </c>
      <c r="E235" s="669" t="s">
        <v>79</v>
      </c>
      <c r="F235" s="704" t="s">
        <v>79</v>
      </c>
      <c r="G235" s="697">
        <v>1</v>
      </c>
      <c r="H235" s="69" t="s">
        <v>874</v>
      </c>
      <c r="I235" s="32">
        <f t="shared" si="374"/>
        <v>9160.5042016806728</v>
      </c>
      <c r="J235" s="33">
        <f t="shared" si="366"/>
        <v>18.999999999999993</v>
      </c>
      <c r="K235" s="195">
        <v>10901</v>
      </c>
      <c r="L235" s="85">
        <f>IF(I235="","",(K235)*$G$235)</f>
        <v>10901</v>
      </c>
      <c r="M235" s="705">
        <f t="shared" ref="M235" si="483">IFERROR(AVERAGE(L235:L236),"")</f>
        <v>11232.45</v>
      </c>
      <c r="N235" s="707">
        <f t="shared" ref="N235" si="484">IFERROR(HARMEAN(L235:L236),"")</f>
        <v>11222.669488847045</v>
      </c>
      <c r="O235" s="707">
        <f t="shared" ref="O235" si="485">IFERROR(MEDIAN(L235:L236),"")</f>
        <v>11232.45</v>
      </c>
      <c r="P235" s="25">
        <f t="shared" si="370"/>
        <v>10901</v>
      </c>
      <c r="Q235" s="544">
        <f t="shared" ref="Q235" si="486">IFERROR(SUM(P235:P236)/COUNTA(K235:K236),"")</f>
        <v>11232.45</v>
      </c>
      <c r="R235" s="542">
        <f t="shared" ref="R235" si="487">IFERROR(_xlfn.STDEV.S(L235:L236),"")</f>
        <v>468.74108524856211</v>
      </c>
      <c r="S235" s="545">
        <f t="shared" ref="S235" si="488">IFERROR(R235/M235,"")</f>
        <v>4.1730974564637466E-2</v>
      </c>
      <c r="T235" s="539" t="s">
        <v>881</v>
      </c>
      <c r="U235" s="540">
        <f t="shared" si="335"/>
        <v>11232.45</v>
      </c>
      <c r="V235" s="714" t="s">
        <v>882</v>
      </c>
      <c r="W235" s="190"/>
    </row>
    <row r="236" spans="1:23" ht="40.5" customHeight="1" x14ac:dyDescent="0.3">
      <c r="A236" s="496"/>
      <c r="B236" s="697"/>
      <c r="C236" s="699"/>
      <c r="D236" s="701"/>
      <c r="E236" s="669"/>
      <c r="F236" s="704"/>
      <c r="G236" s="697"/>
      <c r="H236" s="69" t="s">
        <v>820</v>
      </c>
      <c r="I236" s="32">
        <f t="shared" si="374"/>
        <v>9717.5630252100837</v>
      </c>
      <c r="J236" s="33">
        <f t="shared" si="366"/>
        <v>19</v>
      </c>
      <c r="K236" s="195">
        <v>11563.9</v>
      </c>
      <c r="L236" s="85">
        <f>IF(I236="","",(K236)*$G$235)</f>
        <v>11563.9</v>
      </c>
      <c r="M236" s="705"/>
      <c r="N236" s="707"/>
      <c r="O236" s="707"/>
      <c r="P236" s="25">
        <f t="shared" si="370"/>
        <v>11563.9</v>
      </c>
      <c r="Q236" s="544"/>
      <c r="R236" s="542"/>
      <c r="S236" s="545"/>
      <c r="T236" s="539"/>
      <c r="U236" s="540">
        <f t="shared" si="335"/>
        <v>0</v>
      </c>
      <c r="V236" s="715"/>
      <c r="W236" s="190"/>
    </row>
    <row r="237" spans="1:23" ht="40.5" customHeight="1" x14ac:dyDescent="0.3">
      <c r="A237" s="496">
        <v>117</v>
      </c>
      <c r="B237" s="697">
        <v>14111500</v>
      </c>
      <c r="C237" s="699" t="s">
        <v>1454</v>
      </c>
      <c r="D237" s="701" t="s">
        <v>1455</v>
      </c>
      <c r="E237" s="713" t="s">
        <v>79</v>
      </c>
      <c r="F237" s="704" t="s">
        <v>1456</v>
      </c>
      <c r="G237" s="697">
        <v>1</v>
      </c>
      <c r="H237" s="69" t="s">
        <v>722</v>
      </c>
      <c r="I237" s="32">
        <f t="shared" si="374"/>
        <v>44871</v>
      </c>
      <c r="J237" s="33">
        <f t="shared" si="366"/>
        <v>18.999999999999993</v>
      </c>
      <c r="K237" s="195">
        <f>(44871*19%)+44871</f>
        <v>53396.49</v>
      </c>
      <c r="L237" s="85">
        <f>IF(I237="","",(K237)*$G$237)</f>
        <v>53396.49</v>
      </c>
      <c r="M237" s="705">
        <f t="shared" ref="M237" si="489">IFERROR(AVERAGE(L237:L238),"")</f>
        <v>51688.244999999995</v>
      </c>
      <c r="N237" s="707">
        <f t="shared" ref="N237" si="490">IFERROR(HARMEAN(L237:L238),"")</f>
        <v>51631.789204682806</v>
      </c>
      <c r="O237" s="707">
        <f t="shared" ref="O237" si="491">IFERROR(MEDIAN(L237:L238),"")</f>
        <v>51688.244999999995</v>
      </c>
      <c r="P237" s="25">
        <f t="shared" si="370"/>
        <v>53396.49</v>
      </c>
      <c r="Q237" s="544">
        <f t="shared" ref="Q237" si="492">IFERROR(SUM(P237:P238)/COUNTA(K237:K238),"")</f>
        <v>51688.244999999995</v>
      </c>
      <c r="R237" s="542">
        <f t="shared" ref="R237" si="493">IFERROR(_xlfn.STDEV.S(L237:L238),"")</f>
        <v>2415.8232468560263</v>
      </c>
      <c r="S237" s="545">
        <f t="shared" ref="S237" si="494">IFERROR(R237/M237,"")</f>
        <v>4.6738349248577248E-2</v>
      </c>
      <c r="T237" s="692" t="s">
        <v>2076</v>
      </c>
      <c r="U237" s="540">
        <f t="shared" si="335"/>
        <v>51688.244999999995</v>
      </c>
      <c r="V237" s="695" t="s">
        <v>1457</v>
      </c>
      <c r="W237" s="192" t="s">
        <v>1458</v>
      </c>
    </row>
    <row r="238" spans="1:23" ht="40.5" customHeight="1" x14ac:dyDescent="0.3">
      <c r="A238" s="496"/>
      <c r="B238" s="697"/>
      <c r="C238" s="699"/>
      <c r="D238" s="701"/>
      <c r="E238" s="713"/>
      <c r="F238" s="704"/>
      <c r="G238" s="697"/>
      <c r="H238" s="69" t="s">
        <v>1450</v>
      </c>
      <c r="I238" s="32">
        <f t="shared" si="374"/>
        <v>42000</v>
      </c>
      <c r="J238" s="33">
        <f t="shared" si="366"/>
        <v>19</v>
      </c>
      <c r="K238" s="195">
        <f>(42000*19%)+42000</f>
        <v>49980</v>
      </c>
      <c r="L238" s="85">
        <f>IF(I238="","",(K238)*$G$237)</f>
        <v>49980</v>
      </c>
      <c r="M238" s="705"/>
      <c r="N238" s="707"/>
      <c r="O238" s="707"/>
      <c r="P238" s="25">
        <f t="shared" si="370"/>
        <v>49980</v>
      </c>
      <c r="Q238" s="544"/>
      <c r="R238" s="542"/>
      <c r="S238" s="545"/>
      <c r="T238" s="711"/>
      <c r="U238" s="540">
        <f t="shared" si="335"/>
        <v>0</v>
      </c>
      <c r="V238" s="712"/>
      <c r="W238" s="192" t="s">
        <v>1459</v>
      </c>
    </row>
    <row r="239" spans="1:23" ht="40.5" customHeight="1" x14ac:dyDescent="0.3">
      <c r="A239" s="496">
        <v>118</v>
      </c>
      <c r="B239" s="697">
        <v>14111500</v>
      </c>
      <c r="C239" s="699" t="s">
        <v>1460</v>
      </c>
      <c r="D239" s="701" t="s">
        <v>1461</v>
      </c>
      <c r="E239" s="713" t="s">
        <v>72</v>
      </c>
      <c r="F239" s="704" t="s">
        <v>72</v>
      </c>
      <c r="G239" s="697">
        <v>1</v>
      </c>
      <c r="H239" s="69" t="s">
        <v>820</v>
      </c>
      <c r="I239" s="32">
        <f t="shared" si="374"/>
        <v>75504.369747899167</v>
      </c>
      <c r="J239" s="33">
        <f t="shared" si="366"/>
        <v>18.999999999999982</v>
      </c>
      <c r="K239" s="195">
        <v>89850.2</v>
      </c>
      <c r="L239" s="85">
        <f>IF(I239="","",(K239)*$G$239)</f>
        <v>89850.2</v>
      </c>
      <c r="M239" s="705">
        <f t="shared" ref="M239" si="495">IFERROR(AVERAGE(L239:L240),"")</f>
        <v>101093.6</v>
      </c>
      <c r="N239" s="707">
        <f t="shared" ref="N239" si="496">IFERROR(HARMEAN(L239:L240),"")</f>
        <v>99843.134653430083</v>
      </c>
      <c r="O239" s="707">
        <f t="shared" ref="O239" si="497">IFERROR(MEDIAN(L239:L240),"")</f>
        <v>101093.6</v>
      </c>
      <c r="P239" s="25">
        <f t="shared" si="370"/>
        <v>89850.2</v>
      </c>
      <c r="Q239" s="544">
        <f t="shared" ref="Q239" si="498">IFERROR(SUM(P239:P240)/COUNTA(K239:K240),"")</f>
        <v>101093.6</v>
      </c>
      <c r="R239" s="542">
        <f t="shared" ref="R239" si="499">IFERROR(_xlfn.STDEV.S(L239:L240),"")</f>
        <v>15900.568767185623</v>
      </c>
      <c r="S239" s="545">
        <f t="shared" ref="S239" si="500">IFERROR(R239/M239,"")</f>
        <v>0.15728561221665488</v>
      </c>
      <c r="T239" s="539" t="s">
        <v>1462</v>
      </c>
      <c r="U239" s="540">
        <f t="shared" si="335"/>
        <v>101093.6</v>
      </c>
      <c r="V239" s="714" t="s">
        <v>882</v>
      </c>
      <c r="W239" s="190"/>
    </row>
    <row r="240" spans="1:23" ht="40.5" customHeight="1" x14ac:dyDescent="0.3">
      <c r="A240" s="496"/>
      <c r="B240" s="697"/>
      <c r="C240" s="699"/>
      <c r="D240" s="701"/>
      <c r="E240" s="713"/>
      <c r="F240" s="704"/>
      <c r="G240" s="697"/>
      <c r="H240" s="69" t="s">
        <v>874</v>
      </c>
      <c r="I240" s="32">
        <f t="shared" si="374"/>
        <v>94400.840336134454</v>
      </c>
      <c r="J240" s="33">
        <f t="shared" si="366"/>
        <v>19</v>
      </c>
      <c r="K240" s="195">
        <v>112337</v>
      </c>
      <c r="L240" s="85">
        <f>IF(I240="","",(K240)*$G$239)</f>
        <v>112337</v>
      </c>
      <c r="M240" s="705"/>
      <c r="N240" s="707"/>
      <c r="O240" s="707"/>
      <c r="P240" s="25">
        <f t="shared" si="370"/>
        <v>112337</v>
      </c>
      <c r="Q240" s="544"/>
      <c r="R240" s="542"/>
      <c r="S240" s="545"/>
      <c r="T240" s="539"/>
      <c r="U240" s="540">
        <f t="shared" si="335"/>
        <v>0</v>
      </c>
      <c r="V240" s="715"/>
      <c r="W240" s="190"/>
    </row>
    <row r="241" spans="1:23" ht="40.5" customHeight="1" x14ac:dyDescent="0.3">
      <c r="A241" s="496">
        <v>119</v>
      </c>
      <c r="B241" s="697">
        <v>14111500</v>
      </c>
      <c r="C241" s="699" t="s">
        <v>1460</v>
      </c>
      <c r="D241" s="701" t="s">
        <v>1463</v>
      </c>
      <c r="E241" s="713" t="s">
        <v>72</v>
      </c>
      <c r="F241" s="704" t="s">
        <v>72</v>
      </c>
      <c r="G241" s="697">
        <v>1</v>
      </c>
      <c r="H241" s="69" t="s">
        <v>1182</v>
      </c>
      <c r="I241" s="32">
        <f t="shared" si="374"/>
        <v>78200</v>
      </c>
      <c r="J241" s="33">
        <f t="shared" si="366"/>
        <v>19</v>
      </c>
      <c r="K241" s="195">
        <f>(78200*19%)+78200</f>
        <v>93058</v>
      </c>
      <c r="L241" s="85">
        <f>IF(I241="","",(K241)*$G$241)</f>
        <v>93058</v>
      </c>
      <c r="M241" s="705">
        <f t="shared" ref="M241" si="501">IFERROR(AVERAGE(L241:L242),"")</f>
        <v>95349.345000000001</v>
      </c>
      <c r="N241" s="707">
        <f t="shared" ref="N241" si="502">IFERROR(HARMEAN(L241:L242),"")</f>
        <v>95294.281570785839</v>
      </c>
      <c r="O241" s="707">
        <f t="shared" ref="O241" si="503">IFERROR(MEDIAN(L241:L242),"")</f>
        <v>95349.345000000001</v>
      </c>
      <c r="P241" s="25">
        <f t="shared" si="370"/>
        <v>93058</v>
      </c>
      <c r="Q241" s="544">
        <f t="shared" ref="Q241" si="504">IFERROR(SUM(P241:P242)/COUNTA(K241:K242),"")</f>
        <v>95349.345000000001</v>
      </c>
      <c r="R241" s="542">
        <f t="shared" ref="R241" si="505">IFERROR(_xlfn.STDEV.S(L241:L242),"")</f>
        <v>3240.4511750757811</v>
      </c>
      <c r="S241" s="545">
        <f t="shared" ref="S241" si="506">IFERROR(R241/M241,"")</f>
        <v>3.3985038649985283E-2</v>
      </c>
      <c r="T241" s="692" t="s">
        <v>2076</v>
      </c>
      <c r="U241" s="540">
        <f t="shared" si="335"/>
        <v>95349.345000000001</v>
      </c>
      <c r="V241" s="695" t="s">
        <v>1464</v>
      </c>
      <c r="W241" s="192" t="s">
        <v>1465</v>
      </c>
    </row>
    <row r="242" spans="1:23" ht="40.5" customHeight="1" x14ac:dyDescent="0.3">
      <c r="A242" s="496"/>
      <c r="B242" s="697"/>
      <c r="C242" s="699"/>
      <c r="D242" s="701"/>
      <c r="E242" s="713"/>
      <c r="F242" s="704"/>
      <c r="G242" s="697"/>
      <c r="H242" s="69" t="s">
        <v>867</v>
      </c>
      <c r="I242" s="32">
        <f t="shared" si="374"/>
        <v>82051</v>
      </c>
      <c r="J242" s="33">
        <f t="shared" si="366"/>
        <v>19.000000000000004</v>
      </c>
      <c r="K242" s="195">
        <f>(82051*19%)+82051</f>
        <v>97640.69</v>
      </c>
      <c r="L242" s="85">
        <f>IF(I242="","",(K242)*$G$241)</f>
        <v>97640.69</v>
      </c>
      <c r="M242" s="705"/>
      <c r="N242" s="707"/>
      <c r="O242" s="707"/>
      <c r="P242" s="25">
        <f t="shared" si="370"/>
        <v>97640.69</v>
      </c>
      <c r="Q242" s="544"/>
      <c r="R242" s="542"/>
      <c r="S242" s="545"/>
      <c r="T242" s="711"/>
      <c r="U242" s="540">
        <f t="shared" si="335"/>
        <v>0</v>
      </c>
      <c r="V242" s="712"/>
      <c r="W242" s="192" t="s">
        <v>1466</v>
      </c>
    </row>
    <row r="243" spans="1:23" ht="40.5" customHeight="1" x14ac:dyDescent="0.25">
      <c r="A243" s="496">
        <v>120</v>
      </c>
      <c r="B243" s="697">
        <v>14111510</v>
      </c>
      <c r="C243" s="699" t="s">
        <v>1467</v>
      </c>
      <c r="D243" s="701" t="s">
        <v>1468</v>
      </c>
      <c r="E243" s="713" t="s">
        <v>72</v>
      </c>
      <c r="F243" s="704" t="s">
        <v>1469</v>
      </c>
      <c r="G243" s="697">
        <v>1</v>
      </c>
      <c r="H243" s="69" t="s">
        <v>820</v>
      </c>
      <c r="I243" s="32">
        <f t="shared" si="374"/>
        <v>137161.84873949582</v>
      </c>
      <c r="J243" s="33">
        <f t="shared" si="366"/>
        <v>18.999999999999982</v>
      </c>
      <c r="K243" s="195">
        <v>163222.6</v>
      </c>
      <c r="L243" s="85">
        <f>IF(I243="","",(K243)*$G$243)</f>
        <v>163222.6</v>
      </c>
      <c r="M243" s="705">
        <f t="shared" ref="M243" si="507">IFERROR(AVERAGE(L243:L244),"")</f>
        <v>151458.94500000001</v>
      </c>
      <c r="N243" s="707">
        <f t="shared" ref="N243" si="508">IFERROR(HARMEAN(L243:L244),"")</f>
        <v>150545.27444089885</v>
      </c>
      <c r="O243" s="707">
        <f t="shared" ref="O243" si="509">IFERROR(MEDIAN(L243:L244),"")</f>
        <v>151458.94500000001</v>
      </c>
      <c r="P243" s="25">
        <f t="shared" si="370"/>
        <v>163222.6</v>
      </c>
      <c r="Q243" s="544">
        <f t="shared" ref="Q243" si="510">IFERROR(SUM(P243:P244)/COUNTA(K243:K244),"")</f>
        <v>151458.94500000001</v>
      </c>
      <c r="R243" s="542">
        <f t="shared" ref="R243" si="511">IFERROR(_xlfn.STDEV.S(L243:L244),"")</f>
        <v>16636.320444078068</v>
      </c>
      <c r="S243" s="545">
        <f t="shared" ref="S243" si="512">IFERROR(R243/M243,"")</f>
        <v>0.10984046167810074</v>
      </c>
      <c r="T243" s="539" t="s">
        <v>2075</v>
      </c>
      <c r="U243" s="540">
        <f t="shared" si="335"/>
        <v>151458.94500000001</v>
      </c>
      <c r="V243" s="695" t="s">
        <v>1470</v>
      </c>
      <c r="W243" s="189" t="s">
        <v>822</v>
      </c>
    </row>
    <row r="244" spans="1:23" ht="40.5" customHeight="1" x14ac:dyDescent="0.3">
      <c r="A244" s="496"/>
      <c r="B244" s="697"/>
      <c r="C244" s="699"/>
      <c r="D244" s="701"/>
      <c r="E244" s="713"/>
      <c r="F244" s="704"/>
      <c r="G244" s="697"/>
      <c r="H244" s="69" t="s">
        <v>1471</v>
      </c>
      <c r="I244" s="32">
        <f t="shared" si="374"/>
        <v>117391.00000000001</v>
      </c>
      <c r="J244" s="33">
        <f t="shared" si="366"/>
        <v>18.999999999999993</v>
      </c>
      <c r="K244" s="195">
        <f>(117391*19%)+117391</f>
        <v>139695.29</v>
      </c>
      <c r="L244" s="85">
        <f>IF(I244="","",(K244)*$G$243)</f>
        <v>139695.29</v>
      </c>
      <c r="M244" s="705"/>
      <c r="N244" s="707"/>
      <c r="O244" s="707"/>
      <c r="P244" s="25">
        <f t="shared" si="370"/>
        <v>139695.29</v>
      </c>
      <c r="Q244" s="544"/>
      <c r="R244" s="542"/>
      <c r="S244" s="545"/>
      <c r="T244" s="539"/>
      <c r="U244" s="540">
        <f t="shared" si="335"/>
        <v>0</v>
      </c>
      <c r="V244" s="712"/>
      <c r="W244" s="192" t="s">
        <v>1472</v>
      </c>
    </row>
    <row r="245" spans="1:23" ht="40.5" customHeight="1" x14ac:dyDescent="0.3">
      <c r="A245" s="496">
        <v>121</v>
      </c>
      <c r="B245" s="697">
        <v>44121618</v>
      </c>
      <c r="C245" s="699" t="s">
        <v>1473</v>
      </c>
      <c r="D245" s="701" t="s">
        <v>1474</v>
      </c>
      <c r="E245" s="713" t="s">
        <v>79</v>
      </c>
      <c r="F245" s="704" t="s">
        <v>1021</v>
      </c>
      <c r="G245" s="697">
        <v>1</v>
      </c>
      <c r="H245" s="69" t="s">
        <v>874</v>
      </c>
      <c r="I245" s="32">
        <f t="shared" si="374"/>
        <v>391.59663865546219</v>
      </c>
      <c r="J245" s="33">
        <f t="shared" si="366"/>
        <v>19</v>
      </c>
      <c r="K245" s="195">
        <v>466</v>
      </c>
      <c r="L245" s="85">
        <f>IF(I245="","",(K245)*$G$245)</f>
        <v>466</v>
      </c>
      <c r="M245" s="705">
        <f t="shared" ref="M245" si="513">IFERROR(AVERAGE(L245:L246),"")</f>
        <v>671.75</v>
      </c>
      <c r="N245" s="707">
        <f t="shared" ref="N245" si="514">IFERROR(HARMEAN(L245:L246),"")</f>
        <v>608.73092668403433</v>
      </c>
      <c r="O245" s="707">
        <f t="shared" ref="O245" si="515">IFERROR(MEDIAN(L245:L246),"")</f>
        <v>671.75</v>
      </c>
      <c r="P245" s="25">
        <f t="shared" si="370"/>
        <v>466</v>
      </c>
      <c r="Q245" s="544">
        <f t="shared" ref="Q245" si="516">IFERROR(SUM(P245:P246)/COUNTA(K245:K246),"")</f>
        <v>671.75</v>
      </c>
      <c r="R245" s="542">
        <f t="shared" ref="R245" si="517">IFERROR(_xlfn.STDEV.S(L245:L246),"")</f>
        <v>290.97444045826433</v>
      </c>
      <c r="S245" s="545">
        <f t="shared" ref="S245" si="518">IFERROR(R245/M245,"")</f>
        <v>0.4331588246494445</v>
      </c>
      <c r="T245" s="539" t="s">
        <v>881</v>
      </c>
      <c r="U245" s="540">
        <f>M245</f>
        <v>671.75</v>
      </c>
      <c r="V245" s="714" t="s">
        <v>882</v>
      </c>
      <c r="W245" s="190"/>
    </row>
    <row r="246" spans="1:23" ht="40.5" customHeight="1" x14ac:dyDescent="0.3">
      <c r="A246" s="496"/>
      <c r="B246" s="697"/>
      <c r="C246" s="699"/>
      <c r="D246" s="701"/>
      <c r="E246" s="713"/>
      <c r="F246" s="704"/>
      <c r="G246" s="697"/>
      <c r="H246" s="69" t="s">
        <v>820</v>
      </c>
      <c r="I246" s="32">
        <f t="shared" si="374"/>
        <v>737.39495798319331</v>
      </c>
      <c r="J246" s="33">
        <f t="shared" si="366"/>
        <v>18.999999999999993</v>
      </c>
      <c r="K246" s="195">
        <v>877.5</v>
      </c>
      <c r="L246" s="85">
        <f>IF(I246="","",(K246)*$G$245)</f>
        <v>877.5</v>
      </c>
      <c r="M246" s="705"/>
      <c r="N246" s="707"/>
      <c r="O246" s="707"/>
      <c r="P246" s="25">
        <f t="shared" si="370"/>
        <v>877.5</v>
      </c>
      <c r="Q246" s="544"/>
      <c r="R246" s="542"/>
      <c r="S246" s="545"/>
      <c r="T246" s="539"/>
      <c r="U246" s="540">
        <f t="shared" si="335"/>
        <v>0</v>
      </c>
      <c r="V246" s="715"/>
      <c r="W246" s="190"/>
    </row>
    <row r="247" spans="1:23" ht="40.5" customHeight="1" x14ac:dyDescent="0.3">
      <c r="A247" s="496">
        <v>122</v>
      </c>
      <c r="B247" s="697">
        <v>60121117</v>
      </c>
      <c r="C247" s="699" t="s">
        <v>1475</v>
      </c>
      <c r="D247" s="701" t="s">
        <v>1476</v>
      </c>
      <c r="E247" s="704" t="s">
        <v>290</v>
      </c>
      <c r="F247" s="704" t="s">
        <v>290</v>
      </c>
      <c r="G247" s="697">
        <v>1</v>
      </c>
      <c r="H247" s="69" t="s">
        <v>820</v>
      </c>
      <c r="I247" s="32">
        <f t="shared" si="374"/>
        <v>6927.8991596638662</v>
      </c>
      <c r="J247" s="33">
        <f t="shared" si="366"/>
        <v>19</v>
      </c>
      <c r="K247" s="195">
        <v>8244.2000000000007</v>
      </c>
      <c r="L247" s="85">
        <f>IF(I247="","",(K247)*$G$247)</f>
        <v>8244.2000000000007</v>
      </c>
      <c r="M247" s="705">
        <f t="shared" ref="M247" si="519">IFERROR(AVERAGE(L247:L248),"")</f>
        <v>9472.1</v>
      </c>
      <c r="N247" s="707">
        <f t="shared" ref="N247" si="520">IFERROR(HARMEAN(L247:L248),"")</f>
        <v>9312.9232166045549</v>
      </c>
      <c r="O247" s="707">
        <f t="shared" ref="O247" si="521">IFERROR(MEDIAN(L247:L248),"")</f>
        <v>9472.1</v>
      </c>
      <c r="P247" s="25">
        <f t="shared" si="370"/>
        <v>8244.2000000000007</v>
      </c>
      <c r="Q247" s="544">
        <f t="shared" ref="Q247" si="522">IFERROR(SUM(P247:P248)/COUNTA(K247:K248),"")</f>
        <v>9472.1</v>
      </c>
      <c r="R247" s="542">
        <f t="shared" ref="R247" si="523">IFERROR(_xlfn.STDEV.S(L247:L248),"")</f>
        <v>1736.5128332379213</v>
      </c>
      <c r="S247" s="545">
        <f t="shared" ref="S247" si="524">IFERROR(R247/M247,"")</f>
        <v>0.18332923356361538</v>
      </c>
      <c r="T247" s="539" t="s">
        <v>881</v>
      </c>
      <c r="U247" s="540">
        <f t="shared" si="335"/>
        <v>9472.1</v>
      </c>
      <c r="V247" s="714" t="s">
        <v>882</v>
      </c>
      <c r="W247" s="190"/>
    </row>
    <row r="248" spans="1:23" ht="40.5" customHeight="1" x14ac:dyDescent="0.3">
      <c r="A248" s="496"/>
      <c r="B248" s="697"/>
      <c r="C248" s="699"/>
      <c r="D248" s="701"/>
      <c r="E248" s="704"/>
      <c r="F248" s="704"/>
      <c r="G248" s="697"/>
      <c r="H248" s="69" t="s">
        <v>874</v>
      </c>
      <c r="I248" s="32">
        <f t="shared" si="374"/>
        <v>8991.5966386554628</v>
      </c>
      <c r="J248" s="33">
        <f t="shared" si="366"/>
        <v>18.999999999999993</v>
      </c>
      <c r="K248" s="195">
        <v>10700</v>
      </c>
      <c r="L248" s="85">
        <f>IF(I248="","",(K248)*$G$247)</f>
        <v>10700</v>
      </c>
      <c r="M248" s="705"/>
      <c r="N248" s="707"/>
      <c r="O248" s="707"/>
      <c r="P248" s="25">
        <f t="shared" si="370"/>
        <v>10700</v>
      </c>
      <c r="Q248" s="544"/>
      <c r="R248" s="542"/>
      <c r="S248" s="545"/>
      <c r="T248" s="539"/>
      <c r="U248" s="540">
        <f t="shared" si="335"/>
        <v>0</v>
      </c>
      <c r="V248" s="715"/>
      <c r="W248" s="190"/>
    </row>
    <row r="249" spans="1:23" ht="40.5" customHeight="1" x14ac:dyDescent="0.3">
      <c r="A249" s="496">
        <v>123</v>
      </c>
      <c r="B249" s="697">
        <v>31201610</v>
      </c>
      <c r="C249" s="699" t="s">
        <v>1477</v>
      </c>
      <c r="D249" s="701" t="s">
        <v>1478</v>
      </c>
      <c r="E249" s="704" t="s">
        <v>79</v>
      </c>
      <c r="F249" s="704" t="s">
        <v>79</v>
      </c>
      <c r="G249" s="697">
        <v>1</v>
      </c>
      <c r="H249" s="55" t="s">
        <v>874</v>
      </c>
      <c r="I249" s="32">
        <f t="shared" si="374"/>
        <v>9890.7563025210093</v>
      </c>
      <c r="J249" s="33">
        <f t="shared" si="366"/>
        <v>18.999999999999989</v>
      </c>
      <c r="K249" s="195">
        <v>11770</v>
      </c>
      <c r="L249" s="85">
        <f>IF(I249="","",(K249)*$G$249)</f>
        <v>11770</v>
      </c>
      <c r="M249" s="705">
        <f t="shared" ref="M249" si="525">IFERROR(AVERAGE(L249:L250),"")</f>
        <v>10954.4</v>
      </c>
      <c r="N249" s="707">
        <f t="shared" ref="N249" si="526">IFERROR(HARMEAN(L249:L250),"")</f>
        <v>10893.6752355218</v>
      </c>
      <c r="O249" s="707">
        <f t="shared" ref="O249" si="527">IFERROR(MEDIAN(L249:L250),"")</f>
        <v>10954.4</v>
      </c>
      <c r="P249" s="25">
        <f t="shared" si="370"/>
        <v>11770</v>
      </c>
      <c r="Q249" s="544">
        <f t="shared" ref="Q249" si="528">IFERROR(SUM(P249:P250)/COUNTA(K249:K250),"")</f>
        <v>10954.4</v>
      </c>
      <c r="R249" s="542">
        <f t="shared" ref="R249" si="529">IFERROR(_xlfn.STDEV.S(L249:L250),"")</f>
        <v>1153.4325814714969</v>
      </c>
      <c r="S249" s="545">
        <f t="shared" ref="S249" si="530">IFERROR(R249/M249,"")</f>
        <v>0.10529399889281904</v>
      </c>
      <c r="T249" s="539" t="s">
        <v>2075</v>
      </c>
      <c r="U249" s="540">
        <f t="shared" ref="U249:U312" si="531">M249</f>
        <v>10954.4</v>
      </c>
      <c r="V249" s="695" t="s">
        <v>1479</v>
      </c>
      <c r="W249" s="190" t="s">
        <v>1426</v>
      </c>
    </row>
    <row r="250" spans="1:23" ht="40.5" customHeight="1" x14ac:dyDescent="0.3">
      <c r="A250" s="496"/>
      <c r="B250" s="697"/>
      <c r="C250" s="699"/>
      <c r="D250" s="701"/>
      <c r="E250" s="704"/>
      <c r="F250" s="704"/>
      <c r="G250" s="697"/>
      <c r="H250" s="48" t="s">
        <v>867</v>
      </c>
      <c r="I250" s="32">
        <f t="shared" si="374"/>
        <v>8520</v>
      </c>
      <c r="J250" s="33">
        <f t="shared" si="366"/>
        <v>18.999999999999993</v>
      </c>
      <c r="K250" s="195">
        <f>(8520*19%)+8520</f>
        <v>10138.799999999999</v>
      </c>
      <c r="L250" s="85">
        <f>IF(I250="","",(K250)*$G$249)</f>
        <v>10138.799999999999</v>
      </c>
      <c r="M250" s="705"/>
      <c r="N250" s="707"/>
      <c r="O250" s="707"/>
      <c r="P250" s="25">
        <f t="shared" si="370"/>
        <v>10138.799999999999</v>
      </c>
      <c r="Q250" s="544"/>
      <c r="R250" s="542"/>
      <c r="S250" s="545"/>
      <c r="T250" s="539"/>
      <c r="U250" s="540">
        <f t="shared" si="531"/>
        <v>0</v>
      </c>
      <c r="V250" s="712"/>
      <c r="W250" s="192" t="s">
        <v>1480</v>
      </c>
    </row>
    <row r="251" spans="1:23" ht="40.5" customHeight="1" x14ac:dyDescent="0.3">
      <c r="A251" s="496">
        <v>124</v>
      </c>
      <c r="B251" s="697">
        <v>31201610</v>
      </c>
      <c r="C251" s="699" t="s">
        <v>1481</v>
      </c>
      <c r="D251" s="701" t="s">
        <v>1482</v>
      </c>
      <c r="E251" s="669" t="s">
        <v>79</v>
      </c>
      <c r="F251" s="704" t="s">
        <v>79</v>
      </c>
      <c r="G251" s="697">
        <v>1</v>
      </c>
      <c r="H251" s="55" t="s">
        <v>874</v>
      </c>
      <c r="I251" s="32">
        <f t="shared" si="374"/>
        <v>4527.7310924369749</v>
      </c>
      <c r="J251" s="33">
        <f t="shared" si="366"/>
        <v>18.999999999999996</v>
      </c>
      <c r="K251" s="195">
        <v>5388</v>
      </c>
      <c r="L251" s="85">
        <f>IF(I251="","",(K251)*$G$251)</f>
        <v>5388</v>
      </c>
      <c r="M251" s="705">
        <f t="shared" ref="M251" si="532">IFERROR(AVERAGE(L251:L252),"")</f>
        <v>5135.88</v>
      </c>
      <c r="N251" s="707">
        <f t="shared" ref="N251" si="533">IFERROR(HARMEAN(L251:L252),"")</f>
        <v>5123.5034463422044</v>
      </c>
      <c r="O251" s="707">
        <f t="shared" ref="O251" si="534">IFERROR(MEDIAN(L251:L252),"")</f>
        <v>5135.88</v>
      </c>
      <c r="P251" s="25">
        <f t="shared" si="370"/>
        <v>5388</v>
      </c>
      <c r="Q251" s="544">
        <f t="shared" ref="Q251" si="535">IFERROR(SUM(P251:P252)/COUNTA(K251:K252),"")</f>
        <v>5135.88</v>
      </c>
      <c r="R251" s="542">
        <f t="shared" ref="R251" si="536">IFERROR(_xlfn.STDEV.S(L251:L252),"")</f>
        <v>356.55152334550456</v>
      </c>
      <c r="S251" s="545">
        <f t="shared" ref="S251" si="537">IFERROR(R251/M251,"")</f>
        <v>6.9423647621343287E-2</v>
      </c>
      <c r="T251" s="539" t="s">
        <v>2075</v>
      </c>
      <c r="U251" s="540">
        <f t="shared" si="531"/>
        <v>5135.88</v>
      </c>
      <c r="V251" s="695" t="s">
        <v>1483</v>
      </c>
      <c r="W251" s="190" t="s">
        <v>1426</v>
      </c>
    </row>
    <row r="252" spans="1:23" ht="40.5" customHeight="1" x14ac:dyDescent="0.3">
      <c r="A252" s="496"/>
      <c r="B252" s="697"/>
      <c r="C252" s="699"/>
      <c r="D252" s="701"/>
      <c r="E252" s="669"/>
      <c r="F252" s="704"/>
      <c r="G252" s="697"/>
      <c r="H252" s="48" t="s">
        <v>867</v>
      </c>
      <c r="I252" s="32">
        <f t="shared" si="374"/>
        <v>4104</v>
      </c>
      <c r="J252" s="33">
        <f t="shared" si="366"/>
        <v>19.000000000000007</v>
      </c>
      <c r="K252" s="195">
        <f>(4104*19%)+4104</f>
        <v>4883.76</v>
      </c>
      <c r="L252" s="85">
        <f>IF(I252="","",(K252)*$G$251)</f>
        <v>4883.76</v>
      </c>
      <c r="M252" s="705"/>
      <c r="N252" s="707"/>
      <c r="O252" s="707"/>
      <c r="P252" s="25">
        <f t="shared" si="370"/>
        <v>4883.76</v>
      </c>
      <c r="Q252" s="544"/>
      <c r="R252" s="542"/>
      <c r="S252" s="545"/>
      <c r="T252" s="539"/>
      <c r="U252" s="540">
        <f t="shared" si="531"/>
        <v>0</v>
      </c>
      <c r="V252" s="712"/>
      <c r="W252" s="192" t="s">
        <v>1484</v>
      </c>
    </row>
    <row r="253" spans="1:23" ht="40.5" customHeight="1" x14ac:dyDescent="0.3">
      <c r="A253" s="496">
        <v>125</v>
      </c>
      <c r="B253" s="697">
        <v>26111702</v>
      </c>
      <c r="C253" s="699" t="s">
        <v>1485</v>
      </c>
      <c r="D253" s="701" t="s">
        <v>1486</v>
      </c>
      <c r="E253" s="713" t="s">
        <v>290</v>
      </c>
      <c r="F253" s="704" t="s">
        <v>1487</v>
      </c>
      <c r="G253" s="697">
        <v>1</v>
      </c>
      <c r="H253" s="55" t="s">
        <v>874</v>
      </c>
      <c r="I253" s="32">
        <f t="shared" si="374"/>
        <v>46905.882352941182</v>
      </c>
      <c r="J253" s="33">
        <f t="shared" si="366"/>
        <v>18.999999999999986</v>
      </c>
      <c r="K253" s="195">
        <v>55818</v>
      </c>
      <c r="L253" s="85">
        <f>IF(I253="","",(K253)*$G$253)</f>
        <v>55818</v>
      </c>
      <c r="M253" s="705">
        <f t="shared" ref="M253" si="538">IFERROR(AVERAGE(L253:L254),"")</f>
        <v>78365</v>
      </c>
      <c r="N253" s="707">
        <f t="shared" ref="N253" si="539">IFERROR(HARMEAN(L253:L254),"")</f>
        <v>71877.828316212603</v>
      </c>
      <c r="O253" s="707">
        <f t="shared" ref="O253" si="540">IFERROR(MEDIAN(L253:L254),"")</f>
        <v>78365</v>
      </c>
      <c r="P253" s="25">
        <f t="shared" si="370"/>
        <v>55818</v>
      </c>
      <c r="Q253" s="544">
        <f t="shared" ref="Q253" si="541">IFERROR(SUM(P253:P254)/COUNTA(K253:K254),"")</f>
        <v>78365</v>
      </c>
      <c r="R253" s="542">
        <f t="shared" ref="R253" si="542">IFERROR(_xlfn.STDEV.S(L253:L254),"")</f>
        <v>31886.273190826174</v>
      </c>
      <c r="S253" s="545">
        <f t="shared" ref="S253" si="543">IFERROR(R253/M253,"")</f>
        <v>0.40689431749921745</v>
      </c>
      <c r="T253" s="539" t="s">
        <v>2075</v>
      </c>
      <c r="U253" s="540">
        <f t="shared" si="531"/>
        <v>78365</v>
      </c>
      <c r="V253" s="695" t="s">
        <v>1488</v>
      </c>
      <c r="W253" s="190" t="s">
        <v>1426</v>
      </c>
    </row>
    <row r="254" spans="1:23" ht="40.5" customHeight="1" x14ac:dyDescent="0.3">
      <c r="A254" s="496"/>
      <c r="B254" s="697"/>
      <c r="C254" s="699"/>
      <c r="D254" s="701"/>
      <c r="E254" s="713"/>
      <c r="F254" s="704"/>
      <c r="G254" s="697"/>
      <c r="H254" s="48" t="s">
        <v>1122</v>
      </c>
      <c r="I254" s="32">
        <f t="shared" si="374"/>
        <v>84800</v>
      </c>
      <c r="J254" s="33">
        <f t="shared" si="366"/>
        <v>19</v>
      </c>
      <c r="K254" s="195">
        <f>(84800*19%)+84800</f>
        <v>100912</v>
      </c>
      <c r="L254" s="85">
        <f>IF(I254="","",(K254)*$G$253)</f>
        <v>100912</v>
      </c>
      <c r="M254" s="705"/>
      <c r="N254" s="707"/>
      <c r="O254" s="707"/>
      <c r="P254" s="25">
        <f t="shared" si="370"/>
        <v>100912</v>
      </c>
      <c r="Q254" s="544"/>
      <c r="R254" s="542"/>
      <c r="S254" s="545"/>
      <c r="T254" s="539"/>
      <c r="U254" s="540">
        <f t="shared" si="531"/>
        <v>0</v>
      </c>
      <c r="V254" s="712"/>
      <c r="W254" s="192" t="s">
        <v>1489</v>
      </c>
    </row>
    <row r="255" spans="1:23" ht="40.5" customHeight="1" x14ac:dyDescent="0.3">
      <c r="A255" s="496">
        <v>126</v>
      </c>
      <c r="B255" s="697">
        <v>26111702</v>
      </c>
      <c r="C255" s="699" t="s">
        <v>1490</v>
      </c>
      <c r="D255" s="701" t="s">
        <v>884</v>
      </c>
      <c r="E255" s="713" t="s">
        <v>290</v>
      </c>
      <c r="F255" s="704" t="s">
        <v>885</v>
      </c>
      <c r="G255" s="697">
        <v>1</v>
      </c>
      <c r="H255" s="55" t="s">
        <v>722</v>
      </c>
      <c r="I255" s="32">
        <f t="shared" si="374"/>
        <v>10400</v>
      </c>
      <c r="J255" s="33">
        <f t="shared" si="366"/>
        <v>19</v>
      </c>
      <c r="K255" s="195">
        <f>(10400*19%)+10400</f>
        <v>12376</v>
      </c>
      <c r="L255" s="85">
        <f>IF(I255="","",(K255)*$G$255)</f>
        <v>12376</v>
      </c>
      <c r="M255" s="705">
        <f t="shared" ref="M255" si="544">IFERROR(AVERAGE(L255:L256),"")</f>
        <v>14875</v>
      </c>
      <c r="N255" s="707">
        <f t="shared" ref="N255" si="545">IFERROR(HARMEAN(L255:L256),"")</f>
        <v>14455.167999999998</v>
      </c>
      <c r="O255" s="707">
        <f t="shared" ref="O255" si="546">IFERROR(MEDIAN(L255:L256),"")</f>
        <v>14875</v>
      </c>
      <c r="P255" s="25">
        <f t="shared" si="370"/>
        <v>12376</v>
      </c>
      <c r="Q255" s="544">
        <f t="shared" ref="Q255" si="547">IFERROR(SUM(P255:P256)/COUNTA(K255:K256),"")</f>
        <v>14875</v>
      </c>
      <c r="R255" s="542">
        <f t="shared" ref="R255" si="548">IFERROR(_xlfn.STDEV.S(L255:L256),"")</f>
        <v>3534.1196923703646</v>
      </c>
      <c r="S255" s="545">
        <f t="shared" ref="S255" si="549">IFERROR(R255/M255,"")</f>
        <v>0.23758787847867999</v>
      </c>
      <c r="T255" s="692" t="s">
        <v>2076</v>
      </c>
      <c r="U255" s="540">
        <f t="shared" si="531"/>
        <v>14875</v>
      </c>
      <c r="V255" s="695" t="s">
        <v>1491</v>
      </c>
      <c r="W255" s="192" t="s">
        <v>1492</v>
      </c>
    </row>
    <row r="256" spans="1:23" ht="40.5" customHeight="1" x14ac:dyDescent="0.3">
      <c r="A256" s="496"/>
      <c r="B256" s="697"/>
      <c r="C256" s="699"/>
      <c r="D256" s="701"/>
      <c r="E256" s="713"/>
      <c r="F256" s="704"/>
      <c r="G256" s="697"/>
      <c r="H256" s="48" t="s">
        <v>1122</v>
      </c>
      <c r="I256" s="32">
        <f t="shared" si="374"/>
        <v>14600</v>
      </c>
      <c r="J256" s="33">
        <f t="shared" si="366"/>
        <v>19</v>
      </c>
      <c r="K256" s="195">
        <f>(14600*19%)+14600</f>
        <v>17374</v>
      </c>
      <c r="L256" s="85">
        <f>IF(I256="","",(K256)*$G$255)</f>
        <v>17374</v>
      </c>
      <c r="M256" s="705"/>
      <c r="N256" s="707"/>
      <c r="O256" s="707"/>
      <c r="P256" s="25">
        <f t="shared" si="370"/>
        <v>17374</v>
      </c>
      <c r="Q256" s="544"/>
      <c r="R256" s="542"/>
      <c r="S256" s="545"/>
      <c r="T256" s="711"/>
      <c r="U256" s="540">
        <f t="shared" si="531"/>
        <v>0</v>
      </c>
      <c r="V256" s="712"/>
      <c r="W256" s="192" t="s">
        <v>1493</v>
      </c>
    </row>
    <row r="257" spans="1:23" ht="40.5" customHeight="1" x14ac:dyDescent="0.3">
      <c r="A257" s="496">
        <v>127</v>
      </c>
      <c r="B257" s="697">
        <v>14111530</v>
      </c>
      <c r="C257" s="699" t="s">
        <v>1494</v>
      </c>
      <c r="D257" s="701" t="s">
        <v>1495</v>
      </c>
      <c r="E257" s="713" t="s">
        <v>290</v>
      </c>
      <c r="F257" s="704" t="s">
        <v>290</v>
      </c>
      <c r="G257" s="697">
        <v>1</v>
      </c>
      <c r="H257" s="55" t="s">
        <v>874</v>
      </c>
      <c r="I257" s="32">
        <f t="shared" si="374"/>
        <v>28761.344537815126</v>
      </c>
      <c r="J257" s="33">
        <f t="shared" si="366"/>
        <v>18.999999999999996</v>
      </c>
      <c r="K257" s="195">
        <v>34226</v>
      </c>
      <c r="L257" s="85">
        <f>IF(I257="","",(K257)*$G$257)</f>
        <v>34226</v>
      </c>
      <c r="M257" s="705">
        <f t="shared" ref="M257" si="550">IFERROR(AVERAGE(L257:L258),"")</f>
        <v>31928.5</v>
      </c>
      <c r="N257" s="707">
        <f t="shared" ref="N257" si="551">IFERROR(HARMEAN(L257:L258),"")</f>
        <v>31763.177286750084</v>
      </c>
      <c r="O257" s="707">
        <f t="shared" ref="O257" si="552">IFERROR(MEDIAN(L257:L258),"")</f>
        <v>31928.5</v>
      </c>
      <c r="P257" s="25">
        <f t="shared" si="370"/>
        <v>34226</v>
      </c>
      <c r="Q257" s="544">
        <f t="shared" ref="Q257" si="553">IFERROR(SUM(P257:P258)/COUNTA(K257:K258),"")</f>
        <v>31928.5</v>
      </c>
      <c r="R257" s="542">
        <f t="shared" ref="R257" si="554">IFERROR(_xlfn.STDEV.S(L257:L258),"")</f>
        <v>3249.1556595521861</v>
      </c>
      <c r="S257" s="545">
        <f t="shared" ref="S257" si="555">IFERROR(R257/M257,"")</f>
        <v>0.10176349216380932</v>
      </c>
      <c r="T257" s="539" t="s">
        <v>2075</v>
      </c>
      <c r="U257" s="540">
        <f t="shared" si="531"/>
        <v>31928.5</v>
      </c>
      <c r="V257" s="695" t="s">
        <v>1496</v>
      </c>
      <c r="W257" s="190" t="s">
        <v>1426</v>
      </c>
    </row>
    <row r="258" spans="1:23" ht="40.5" customHeight="1" x14ac:dyDescent="0.3">
      <c r="A258" s="496"/>
      <c r="B258" s="697"/>
      <c r="C258" s="699"/>
      <c r="D258" s="701"/>
      <c r="E258" s="713"/>
      <c r="F258" s="704"/>
      <c r="G258" s="697"/>
      <c r="H258" s="48" t="s">
        <v>722</v>
      </c>
      <c r="I258" s="32">
        <f t="shared" si="374"/>
        <v>24900</v>
      </c>
      <c r="J258" s="33">
        <f t="shared" si="366"/>
        <v>19</v>
      </c>
      <c r="K258" s="195">
        <f>(24900*19%)+24900</f>
        <v>29631</v>
      </c>
      <c r="L258" s="85">
        <f>IF(I258="","",(K258)*$G$257)</f>
        <v>29631</v>
      </c>
      <c r="M258" s="705"/>
      <c r="N258" s="707"/>
      <c r="O258" s="707"/>
      <c r="P258" s="25">
        <f t="shared" si="370"/>
        <v>29631</v>
      </c>
      <c r="Q258" s="544"/>
      <c r="R258" s="542"/>
      <c r="S258" s="545"/>
      <c r="T258" s="539"/>
      <c r="U258" s="540">
        <f t="shared" si="531"/>
        <v>0</v>
      </c>
      <c r="V258" s="712"/>
      <c r="W258" s="192" t="s">
        <v>1497</v>
      </c>
    </row>
    <row r="259" spans="1:23" ht="40.5" customHeight="1" x14ac:dyDescent="0.3">
      <c r="A259" s="496">
        <v>128</v>
      </c>
      <c r="B259" s="697">
        <v>60121229</v>
      </c>
      <c r="C259" s="699" t="s">
        <v>1498</v>
      </c>
      <c r="D259" s="701" t="s">
        <v>1499</v>
      </c>
      <c r="E259" s="713" t="s">
        <v>290</v>
      </c>
      <c r="F259" s="704" t="s">
        <v>290</v>
      </c>
      <c r="G259" s="697">
        <v>1</v>
      </c>
      <c r="H259" s="55" t="s">
        <v>874</v>
      </c>
      <c r="I259" s="32">
        <f t="shared" si="374"/>
        <v>10529.411764705883</v>
      </c>
      <c r="J259" s="33">
        <f t="shared" si="366"/>
        <v>18.999999999999993</v>
      </c>
      <c r="K259" s="195">
        <v>12530</v>
      </c>
      <c r="L259" s="85">
        <f>IF(I259="","",(K259)*$G$259)</f>
        <v>12530</v>
      </c>
      <c r="M259" s="705">
        <f t="shared" ref="M259" si="556">IFERROR(AVERAGE(L259:L260),"")</f>
        <v>14291.55</v>
      </c>
      <c r="N259" s="707">
        <f t="shared" ref="N259" si="557">IFERROR(HARMEAN(L259:L260),"")</f>
        <v>14074.424607547819</v>
      </c>
      <c r="O259" s="707">
        <f t="shared" ref="O259" si="558">IFERROR(MEDIAN(L259:L260),"")</f>
        <v>14291.55</v>
      </c>
      <c r="P259" s="25">
        <f t="shared" si="370"/>
        <v>12530</v>
      </c>
      <c r="Q259" s="544">
        <f t="shared" ref="Q259" si="559">IFERROR(SUM(P259:P260)/COUNTA(K259:K260),"")</f>
        <v>14291.55</v>
      </c>
      <c r="R259" s="542">
        <f t="shared" ref="R259" si="560">IFERROR(_xlfn.STDEV.S(L259:L260),"")</f>
        <v>2491.2079007983389</v>
      </c>
      <c r="S259" s="545">
        <f t="shared" ref="S259" si="561">IFERROR(R259/M259,"")</f>
        <v>0.17431334605402066</v>
      </c>
      <c r="T259" s="539" t="s">
        <v>2075</v>
      </c>
      <c r="U259" s="540">
        <f t="shared" si="531"/>
        <v>14291.55</v>
      </c>
      <c r="V259" s="695" t="s">
        <v>1500</v>
      </c>
      <c r="W259" s="190" t="s">
        <v>1426</v>
      </c>
    </row>
    <row r="260" spans="1:23" ht="40.5" customHeight="1" x14ac:dyDescent="0.3">
      <c r="A260" s="496"/>
      <c r="B260" s="697"/>
      <c r="C260" s="699"/>
      <c r="D260" s="701"/>
      <c r="E260" s="713"/>
      <c r="F260" s="704"/>
      <c r="G260" s="697"/>
      <c r="H260" s="48" t="s">
        <v>722</v>
      </c>
      <c r="I260" s="32">
        <f t="shared" si="374"/>
        <v>13490</v>
      </c>
      <c r="J260" s="33">
        <f t="shared" si="366"/>
        <v>19.000000000000004</v>
      </c>
      <c r="K260" s="195">
        <f>(13490*19%)+13490</f>
        <v>16053.1</v>
      </c>
      <c r="L260" s="85">
        <f>IF(I260="","",(K260)*$G$259)</f>
        <v>16053.1</v>
      </c>
      <c r="M260" s="705"/>
      <c r="N260" s="707"/>
      <c r="O260" s="707"/>
      <c r="P260" s="25">
        <f t="shared" si="370"/>
        <v>16053.1</v>
      </c>
      <c r="Q260" s="544"/>
      <c r="R260" s="542"/>
      <c r="S260" s="545"/>
      <c r="T260" s="539"/>
      <c r="U260" s="540">
        <f t="shared" si="531"/>
        <v>0</v>
      </c>
      <c r="V260" s="712"/>
      <c r="W260" s="192" t="s">
        <v>1501</v>
      </c>
    </row>
    <row r="261" spans="1:23" ht="40.5" customHeight="1" x14ac:dyDescent="0.3">
      <c r="A261" s="496">
        <v>129</v>
      </c>
      <c r="B261" s="697">
        <v>44121804</v>
      </c>
      <c r="C261" s="699" t="s">
        <v>1502</v>
      </c>
      <c r="D261" s="701" t="s">
        <v>1503</v>
      </c>
      <c r="E261" s="669" t="s">
        <v>141</v>
      </c>
      <c r="F261" s="704" t="s">
        <v>729</v>
      </c>
      <c r="G261" s="697">
        <v>1</v>
      </c>
      <c r="H261" s="55" t="s">
        <v>722</v>
      </c>
      <c r="I261" s="32">
        <f t="shared" si="374"/>
        <v>9500</v>
      </c>
      <c r="J261" s="33">
        <f t="shared" ref="J261:J324" si="562">IF(K261="","",(K261-(K261/1.19))/(K261/1.19)*100)</f>
        <v>19</v>
      </c>
      <c r="K261" s="195">
        <f>(9500*19%)+9500</f>
        <v>11305</v>
      </c>
      <c r="L261" s="85">
        <f>IF(I261="","",(K261)*$G$261)</f>
        <v>11305</v>
      </c>
      <c r="M261" s="705">
        <f t="shared" ref="M261" si="563">IFERROR(AVERAGE(L261:L262),"")</f>
        <v>12138</v>
      </c>
      <c r="N261" s="707">
        <f t="shared" ref="N261" si="564">IFERROR(HARMEAN(L261:L262),"")</f>
        <v>12080.833333333332</v>
      </c>
      <c r="O261" s="707">
        <f t="shared" ref="O261" si="565">IFERROR(MEDIAN(L261:L262),"")</f>
        <v>12138</v>
      </c>
      <c r="P261" s="25">
        <f t="shared" ref="P261:P324" si="566">IF(L261="","",L261)</f>
        <v>11305</v>
      </c>
      <c r="Q261" s="544">
        <f t="shared" ref="Q261" si="567">IFERROR(SUM(P261:P262)/COUNTA(K261:K262),"")</f>
        <v>12138</v>
      </c>
      <c r="R261" s="542">
        <f t="shared" ref="R261" si="568">IFERROR(_xlfn.STDEV.S(L261:L262),"")</f>
        <v>1178.0398974567881</v>
      </c>
      <c r="S261" s="545">
        <f t="shared" ref="S261" si="569">IFERROR(R261/M261,"")</f>
        <v>9.7053871927565344E-2</v>
      </c>
      <c r="T261" s="692" t="s">
        <v>2076</v>
      </c>
      <c r="U261" s="540">
        <f t="shared" si="531"/>
        <v>12138</v>
      </c>
      <c r="V261" s="695" t="s">
        <v>1504</v>
      </c>
      <c r="W261" s="192" t="s">
        <v>1505</v>
      </c>
    </row>
    <row r="262" spans="1:23" ht="40.5" customHeight="1" x14ac:dyDescent="0.3">
      <c r="A262" s="496"/>
      <c r="B262" s="697"/>
      <c r="C262" s="699"/>
      <c r="D262" s="701"/>
      <c r="E262" s="669"/>
      <c r="F262" s="704"/>
      <c r="G262" s="697"/>
      <c r="H262" s="48" t="s">
        <v>1003</v>
      </c>
      <c r="I262" s="32">
        <f t="shared" ref="I262:I325" si="570">IFERROR(K262/((100+J262)/100),"")</f>
        <v>10900</v>
      </c>
      <c r="J262" s="33">
        <f t="shared" si="562"/>
        <v>19</v>
      </c>
      <c r="K262" s="195">
        <f>(10900*19%)+10900</f>
        <v>12971</v>
      </c>
      <c r="L262" s="85">
        <f>IF(I262="","",(K262)*$G$261)</f>
        <v>12971</v>
      </c>
      <c r="M262" s="705"/>
      <c r="N262" s="707"/>
      <c r="O262" s="707"/>
      <c r="P262" s="25">
        <f t="shared" si="566"/>
        <v>12971</v>
      </c>
      <c r="Q262" s="544"/>
      <c r="R262" s="542"/>
      <c r="S262" s="545"/>
      <c r="T262" s="711"/>
      <c r="U262" s="540">
        <f t="shared" si="531"/>
        <v>0</v>
      </c>
      <c r="V262" s="712"/>
      <c r="W262" s="190"/>
    </row>
    <row r="263" spans="1:23" ht="40.5" customHeight="1" x14ac:dyDescent="0.3">
      <c r="A263" s="496">
        <v>130</v>
      </c>
      <c r="B263" s="697">
        <v>44121804</v>
      </c>
      <c r="C263" s="699" t="s">
        <v>1506</v>
      </c>
      <c r="D263" s="701" t="s">
        <v>1507</v>
      </c>
      <c r="E263" s="713" t="s">
        <v>290</v>
      </c>
      <c r="F263" s="704" t="s">
        <v>290</v>
      </c>
      <c r="G263" s="697">
        <v>1</v>
      </c>
      <c r="H263" s="55" t="s">
        <v>722</v>
      </c>
      <c r="I263" s="32">
        <f t="shared" si="570"/>
        <v>23950</v>
      </c>
      <c r="J263" s="33">
        <f t="shared" si="562"/>
        <v>19</v>
      </c>
      <c r="K263" s="195">
        <f>(23950*19%)+23950</f>
        <v>28500.5</v>
      </c>
      <c r="L263" s="85">
        <f>IF(I263="","",(K263)*$G$263)</f>
        <v>28500.5</v>
      </c>
      <c r="M263" s="705">
        <f t="shared" ref="M263" si="571">IFERROR(AVERAGE(L263:L264),"")</f>
        <v>31750.25</v>
      </c>
      <c r="N263" s="707">
        <f t="shared" ref="N263" si="572">IFERROR(HARMEAN(L263:L264),"")</f>
        <v>31417.626632861164</v>
      </c>
      <c r="O263" s="707">
        <f t="shared" ref="O263" si="573">IFERROR(MEDIAN(L263:L264),"")</f>
        <v>31750.25</v>
      </c>
      <c r="P263" s="25">
        <f t="shared" si="566"/>
        <v>28500.5</v>
      </c>
      <c r="Q263" s="544">
        <f t="shared" ref="Q263" si="574">IFERROR(SUM(P263:P264)/COUNTA(K263:K264),"")</f>
        <v>31750.25</v>
      </c>
      <c r="R263" s="542">
        <f t="shared" ref="R263" si="575">IFERROR(_xlfn.STDEV.S(L263:L264),"")</f>
        <v>4595.8405243219659</v>
      </c>
      <c r="S263" s="545">
        <f t="shared" ref="S263" si="576">IFERROR(R263/M263,"")</f>
        <v>0.14474974289405487</v>
      </c>
      <c r="T263" s="539" t="s">
        <v>2075</v>
      </c>
      <c r="U263" s="540">
        <f t="shared" si="531"/>
        <v>31750.25</v>
      </c>
      <c r="V263" s="695" t="s">
        <v>1508</v>
      </c>
      <c r="W263" s="192" t="s">
        <v>1509</v>
      </c>
    </row>
    <row r="264" spans="1:23" ht="40.5" customHeight="1" x14ac:dyDescent="0.3">
      <c r="A264" s="496"/>
      <c r="B264" s="697"/>
      <c r="C264" s="699"/>
      <c r="D264" s="701"/>
      <c r="E264" s="713"/>
      <c r="F264" s="704"/>
      <c r="G264" s="697"/>
      <c r="H264" s="48" t="s">
        <v>874</v>
      </c>
      <c r="I264" s="32">
        <f t="shared" si="570"/>
        <v>29411.764705882353</v>
      </c>
      <c r="J264" s="33">
        <f t="shared" si="562"/>
        <v>19</v>
      </c>
      <c r="K264" s="195">
        <v>35000</v>
      </c>
      <c r="L264" s="85">
        <f>IF(I264="","",(K264)*$G$263)</f>
        <v>35000</v>
      </c>
      <c r="M264" s="705"/>
      <c r="N264" s="707"/>
      <c r="O264" s="707"/>
      <c r="P264" s="25">
        <f t="shared" si="566"/>
        <v>35000</v>
      </c>
      <c r="Q264" s="544"/>
      <c r="R264" s="542"/>
      <c r="S264" s="545"/>
      <c r="T264" s="539"/>
      <c r="U264" s="540">
        <f t="shared" si="531"/>
        <v>0</v>
      </c>
      <c r="V264" s="712"/>
      <c r="W264" s="190" t="s">
        <v>1426</v>
      </c>
    </row>
    <row r="265" spans="1:23" ht="40.5" customHeight="1" x14ac:dyDescent="0.3">
      <c r="A265" s="496">
        <v>131</v>
      </c>
      <c r="B265" s="697">
        <v>31211513</v>
      </c>
      <c r="C265" s="699" t="s">
        <v>1510</v>
      </c>
      <c r="D265" s="701" t="s">
        <v>1511</v>
      </c>
      <c r="E265" s="669" t="s">
        <v>79</v>
      </c>
      <c r="F265" s="704" t="s">
        <v>1087</v>
      </c>
      <c r="G265" s="697">
        <v>1</v>
      </c>
      <c r="H265" s="55" t="s">
        <v>980</v>
      </c>
      <c r="I265" s="32">
        <f t="shared" si="570"/>
        <v>2300</v>
      </c>
      <c r="J265" s="33">
        <f t="shared" si="562"/>
        <v>19</v>
      </c>
      <c r="K265" s="195">
        <f>(2300*19%)+2300</f>
        <v>2737</v>
      </c>
      <c r="L265" s="85">
        <f>IF(I265="","",(K265)*$G$265)</f>
        <v>2737</v>
      </c>
      <c r="M265" s="705">
        <f t="shared" ref="M265" si="577">IFERROR(AVERAGE(L265:L266),"")</f>
        <v>2737</v>
      </c>
      <c r="N265" s="707">
        <f t="shared" ref="N265" si="578">IFERROR(HARMEAN(L265:L266),"")</f>
        <v>2737</v>
      </c>
      <c r="O265" s="707">
        <f t="shared" ref="O265" si="579">IFERROR(MEDIAN(L265:L266),"")</f>
        <v>2737</v>
      </c>
      <c r="P265" s="25">
        <f t="shared" si="566"/>
        <v>2737</v>
      </c>
      <c r="Q265" s="544">
        <f t="shared" ref="Q265" si="580">IFERROR(SUM(P265:P266)/COUNTA(K265:K266),"")</f>
        <v>2737</v>
      </c>
      <c r="R265" s="542">
        <f t="shared" ref="R265" si="581">IFERROR(_xlfn.STDEV.S(L265:L266),"")</f>
        <v>0</v>
      </c>
      <c r="S265" s="545">
        <f t="shared" ref="S265" si="582">IFERROR(R265/M265,"")</f>
        <v>0</v>
      </c>
      <c r="T265" s="692" t="s">
        <v>2076</v>
      </c>
      <c r="U265" s="540">
        <f t="shared" si="531"/>
        <v>2737</v>
      </c>
      <c r="V265" s="695" t="s">
        <v>1512</v>
      </c>
      <c r="W265" s="192" t="s">
        <v>1513</v>
      </c>
    </row>
    <row r="266" spans="1:23" ht="40.5" customHeight="1" x14ac:dyDescent="0.3">
      <c r="A266" s="496"/>
      <c r="B266" s="697"/>
      <c r="C266" s="699"/>
      <c r="D266" s="701"/>
      <c r="E266" s="669"/>
      <c r="F266" s="704"/>
      <c r="G266" s="697"/>
      <c r="H266" s="48" t="s">
        <v>1514</v>
      </c>
      <c r="I266" s="32">
        <f t="shared" si="570"/>
        <v>2300</v>
      </c>
      <c r="J266" s="33">
        <f t="shared" si="562"/>
        <v>19</v>
      </c>
      <c r="K266" s="195">
        <f>(2300*19%)+2300</f>
        <v>2737</v>
      </c>
      <c r="L266" s="85">
        <f>IF(I266="","",(K266)*$G$265)</f>
        <v>2737</v>
      </c>
      <c r="M266" s="705"/>
      <c r="N266" s="707"/>
      <c r="O266" s="707"/>
      <c r="P266" s="25">
        <f t="shared" si="566"/>
        <v>2737</v>
      </c>
      <c r="Q266" s="544"/>
      <c r="R266" s="542"/>
      <c r="S266" s="545"/>
      <c r="T266" s="711"/>
      <c r="U266" s="540">
        <f t="shared" si="531"/>
        <v>0</v>
      </c>
      <c r="V266" s="712"/>
      <c r="W266" s="192" t="s">
        <v>1515</v>
      </c>
    </row>
    <row r="267" spans="1:23" ht="40.5" customHeight="1" x14ac:dyDescent="0.3">
      <c r="A267" s="496">
        <v>132</v>
      </c>
      <c r="B267" s="697">
        <v>31211508</v>
      </c>
      <c r="C267" s="699" t="s">
        <v>1516</v>
      </c>
      <c r="D267" s="701" t="s">
        <v>1517</v>
      </c>
      <c r="E267" s="669" t="s">
        <v>141</v>
      </c>
      <c r="F267" s="704" t="s">
        <v>1518</v>
      </c>
      <c r="G267" s="697">
        <v>1</v>
      </c>
      <c r="H267" s="55" t="s">
        <v>722</v>
      </c>
      <c r="I267" s="32">
        <f t="shared" si="570"/>
        <v>26700</v>
      </c>
      <c r="J267" s="33">
        <f t="shared" si="562"/>
        <v>19</v>
      </c>
      <c r="K267" s="195">
        <f>(26700*19%)+26700</f>
        <v>31773</v>
      </c>
      <c r="L267" s="85">
        <f>IF(I267="","",(K267)*$G$267)</f>
        <v>31773</v>
      </c>
      <c r="M267" s="705">
        <f t="shared" ref="M267" si="583">IFERROR(AVERAGE(L267:L268),"")</f>
        <v>29122.275000000001</v>
      </c>
      <c r="N267" s="707">
        <f t="shared" ref="N267" si="584">IFERROR(HARMEAN(L267:L268),"")</f>
        <v>28881.004596996627</v>
      </c>
      <c r="O267" s="707">
        <f t="shared" ref="O267" si="585">IFERROR(MEDIAN(L267:L268),"")</f>
        <v>29122.275000000001</v>
      </c>
      <c r="P267" s="25">
        <f t="shared" si="566"/>
        <v>31773</v>
      </c>
      <c r="Q267" s="544">
        <f t="shared" ref="Q267" si="586">IFERROR(SUM(P267:P268)/COUNTA(K267:K268),"")</f>
        <v>29122.275000000001</v>
      </c>
      <c r="R267" s="542">
        <f t="shared" ref="R267" si="587">IFERROR(_xlfn.STDEV.S(L267:L268),"")</f>
        <v>3748.691245121423</v>
      </c>
      <c r="S267" s="545">
        <f t="shared" ref="S267" si="588">IFERROR(R267/M267,"")</f>
        <v>0.12872247257885666</v>
      </c>
      <c r="T267" s="692" t="s">
        <v>2076</v>
      </c>
      <c r="U267" s="540">
        <f t="shared" si="531"/>
        <v>29122.275000000001</v>
      </c>
      <c r="V267" s="695" t="s">
        <v>1519</v>
      </c>
      <c r="W267" s="192" t="s">
        <v>1520</v>
      </c>
    </row>
    <row r="268" spans="1:23" ht="40.5" customHeight="1" x14ac:dyDescent="0.3">
      <c r="A268" s="496"/>
      <c r="B268" s="697"/>
      <c r="C268" s="699"/>
      <c r="D268" s="701"/>
      <c r="E268" s="669"/>
      <c r="F268" s="704"/>
      <c r="G268" s="697"/>
      <c r="H268" s="48" t="s">
        <v>1521</v>
      </c>
      <c r="I268" s="32">
        <f t="shared" si="570"/>
        <v>22245</v>
      </c>
      <c r="J268" s="33">
        <f t="shared" si="562"/>
        <v>18.999999999999996</v>
      </c>
      <c r="K268" s="195">
        <f>(22245*19%)+22245</f>
        <v>26471.55</v>
      </c>
      <c r="L268" s="85">
        <f>IF(I268="","",(K268)*$G$267)</f>
        <v>26471.55</v>
      </c>
      <c r="M268" s="705"/>
      <c r="N268" s="707"/>
      <c r="O268" s="707"/>
      <c r="P268" s="25">
        <f t="shared" si="566"/>
        <v>26471.55</v>
      </c>
      <c r="Q268" s="544"/>
      <c r="R268" s="542"/>
      <c r="S268" s="545"/>
      <c r="T268" s="711"/>
      <c r="U268" s="540">
        <f t="shared" si="531"/>
        <v>0</v>
      </c>
      <c r="V268" s="712"/>
      <c r="W268" s="192" t="s">
        <v>1522</v>
      </c>
    </row>
    <row r="269" spans="1:23" ht="40.5" customHeight="1" x14ac:dyDescent="0.3">
      <c r="A269" s="496">
        <v>133</v>
      </c>
      <c r="B269" s="697">
        <v>14111519</v>
      </c>
      <c r="C269" s="699" t="s">
        <v>1523</v>
      </c>
      <c r="D269" s="701" t="s">
        <v>1524</v>
      </c>
      <c r="E269" s="669" t="s">
        <v>79</v>
      </c>
      <c r="F269" s="704" t="s">
        <v>79</v>
      </c>
      <c r="G269" s="697">
        <v>1</v>
      </c>
      <c r="H269" s="55" t="s">
        <v>820</v>
      </c>
      <c r="I269" s="32">
        <f t="shared" si="570"/>
        <v>36638.655462184877</v>
      </c>
      <c r="J269" s="33">
        <f t="shared" si="562"/>
        <v>18.999999999999989</v>
      </c>
      <c r="K269" s="195">
        <v>43600</v>
      </c>
      <c r="L269" s="85">
        <f>IF(I269="","",(K269)*$G$269)</f>
        <v>43600</v>
      </c>
      <c r="M269" s="705">
        <f t="shared" ref="M269" si="589">IFERROR(AVERAGE(L269:L270),"")</f>
        <v>32731.5</v>
      </c>
      <c r="N269" s="707">
        <f t="shared" ref="N269" si="590">IFERROR(HARMEAN(L269:L270),"")</f>
        <v>29122.61277362785</v>
      </c>
      <c r="O269" s="707">
        <f t="shared" ref="O269" si="591">IFERROR(MEDIAN(L269:L270),"")</f>
        <v>32731.5</v>
      </c>
      <c r="P269" s="25">
        <f t="shared" si="566"/>
        <v>43600</v>
      </c>
      <c r="Q269" s="544">
        <f t="shared" ref="Q269" si="592">IFERROR(SUM(P269:P270)/COUNTA(K269:K270),"")</f>
        <v>32731.5</v>
      </c>
      <c r="R269" s="542">
        <f t="shared" ref="R269" si="593">IFERROR(_xlfn.STDEV.S(L269:L270),"")</f>
        <v>15370.380102651983</v>
      </c>
      <c r="S269" s="545">
        <f t="shared" ref="S269" si="594">IFERROR(R269/M269,"")</f>
        <v>0.46958984778124996</v>
      </c>
      <c r="T269" s="539" t="s">
        <v>881</v>
      </c>
      <c r="U269" s="540">
        <f t="shared" si="531"/>
        <v>32731.5</v>
      </c>
      <c r="V269" s="714" t="s">
        <v>882</v>
      </c>
      <c r="W269" s="190"/>
    </row>
    <row r="270" spans="1:23" ht="40.5" customHeight="1" x14ac:dyDescent="0.3">
      <c r="A270" s="496"/>
      <c r="B270" s="697"/>
      <c r="C270" s="699"/>
      <c r="D270" s="701"/>
      <c r="E270" s="669"/>
      <c r="F270" s="704"/>
      <c r="G270" s="697"/>
      <c r="H270" s="48" t="s">
        <v>874</v>
      </c>
      <c r="I270" s="32">
        <f t="shared" si="570"/>
        <v>18372.268907563026</v>
      </c>
      <c r="J270" s="33">
        <f t="shared" si="562"/>
        <v>18.999999999999993</v>
      </c>
      <c r="K270" s="195">
        <v>21863</v>
      </c>
      <c r="L270" s="85">
        <f>IF(I270="","",(K270)*$G$269)</f>
        <v>21863</v>
      </c>
      <c r="M270" s="705"/>
      <c r="N270" s="707"/>
      <c r="O270" s="707"/>
      <c r="P270" s="25">
        <f t="shared" si="566"/>
        <v>21863</v>
      </c>
      <c r="Q270" s="544"/>
      <c r="R270" s="542"/>
      <c r="S270" s="545"/>
      <c r="T270" s="539"/>
      <c r="U270" s="540">
        <f t="shared" si="531"/>
        <v>0</v>
      </c>
      <c r="V270" s="715"/>
      <c r="W270" s="190"/>
    </row>
    <row r="271" spans="1:23" ht="40.5" customHeight="1" x14ac:dyDescent="0.3">
      <c r="A271" s="496">
        <v>134</v>
      </c>
      <c r="B271" s="697">
        <v>60101405</v>
      </c>
      <c r="C271" s="699" t="s">
        <v>1525</v>
      </c>
      <c r="D271" s="701" t="s">
        <v>1526</v>
      </c>
      <c r="E271" s="669" t="s">
        <v>79</v>
      </c>
      <c r="F271" s="704" t="s">
        <v>79</v>
      </c>
      <c r="G271" s="697">
        <v>1</v>
      </c>
      <c r="H271" s="55" t="s">
        <v>874</v>
      </c>
      <c r="I271" s="32">
        <f t="shared" si="570"/>
        <v>1315.966386554622</v>
      </c>
      <c r="J271" s="33">
        <f t="shared" si="562"/>
        <v>18.999999999999989</v>
      </c>
      <c r="K271" s="195">
        <v>1566</v>
      </c>
      <c r="L271" s="85">
        <f>IF(I271="","",(K271)*$G$271)</f>
        <v>1566</v>
      </c>
      <c r="M271" s="705">
        <f t="shared" ref="M271" si="595">IFERROR(AVERAGE(L271:L272),"")</f>
        <v>1267.1500000000001</v>
      </c>
      <c r="N271" s="707">
        <f t="shared" ref="N271" si="596">IFERROR(HARMEAN(L271:L272),"")</f>
        <v>1196.6679556485026</v>
      </c>
      <c r="O271" s="707">
        <f t="shared" ref="O271" si="597">IFERROR(MEDIAN(L271:L272),"")</f>
        <v>1267.1500000000001</v>
      </c>
      <c r="P271" s="25">
        <f t="shared" si="566"/>
        <v>1566</v>
      </c>
      <c r="Q271" s="544">
        <f t="shared" ref="Q271" si="598">IFERROR(SUM(P271:P272)/COUNTA(K271:K272),"")</f>
        <v>1267.1500000000001</v>
      </c>
      <c r="R271" s="542">
        <f t="shared" ref="R271" si="599">IFERROR(_xlfn.STDEV.S(L271:L272),"")</f>
        <v>422.63772311519836</v>
      </c>
      <c r="S271" s="545">
        <f t="shared" ref="S271" si="600">IFERROR(R271/M271,"")</f>
        <v>0.33353409076683765</v>
      </c>
      <c r="T271" s="539" t="s">
        <v>881</v>
      </c>
      <c r="U271" s="540">
        <f t="shared" si="531"/>
        <v>1267.1500000000001</v>
      </c>
      <c r="V271" s="714" t="s">
        <v>882</v>
      </c>
      <c r="W271" s="190"/>
    </row>
    <row r="272" spans="1:23" ht="40.5" customHeight="1" x14ac:dyDescent="0.3">
      <c r="A272" s="496"/>
      <c r="B272" s="697"/>
      <c r="C272" s="699"/>
      <c r="D272" s="701"/>
      <c r="E272" s="669"/>
      <c r="F272" s="704"/>
      <c r="G272" s="697"/>
      <c r="H272" s="48" t="s">
        <v>820</v>
      </c>
      <c r="I272" s="32">
        <f t="shared" si="570"/>
        <v>813.69747899159665</v>
      </c>
      <c r="J272" s="33">
        <f t="shared" si="562"/>
        <v>18.999999999999993</v>
      </c>
      <c r="K272" s="195">
        <v>968.3</v>
      </c>
      <c r="L272" s="85">
        <f>IF(I272="","",(K272)*$G$271)</f>
        <v>968.3</v>
      </c>
      <c r="M272" s="705"/>
      <c r="N272" s="707"/>
      <c r="O272" s="707"/>
      <c r="P272" s="25">
        <f t="shared" si="566"/>
        <v>968.3</v>
      </c>
      <c r="Q272" s="544"/>
      <c r="R272" s="542"/>
      <c r="S272" s="545"/>
      <c r="T272" s="539"/>
      <c r="U272" s="540">
        <f t="shared" si="531"/>
        <v>0</v>
      </c>
      <c r="V272" s="715"/>
      <c r="W272" s="190"/>
    </row>
    <row r="273" spans="1:23" ht="40.5" customHeight="1" x14ac:dyDescent="0.3">
      <c r="A273" s="496">
        <v>135</v>
      </c>
      <c r="B273" s="697" t="s">
        <v>1527</v>
      </c>
      <c r="C273" s="699" t="s">
        <v>1528</v>
      </c>
      <c r="D273" s="701" t="s">
        <v>1529</v>
      </c>
      <c r="E273" s="713" t="s">
        <v>290</v>
      </c>
      <c r="F273" s="704" t="s">
        <v>290</v>
      </c>
      <c r="G273" s="697">
        <v>1</v>
      </c>
      <c r="H273" s="55" t="s">
        <v>820</v>
      </c>
      <c r="I273" s="32">
        <f t="shared" si="570"/>
        <v>9066.638655462184</v>
      </c>
      <c r="J273" s="33">
        <f t="shared" si="562"/>
        <v>19.000000000000004</v>
      </c>
      <c r="K273" s="195">
        <v>10789.3</v>
      </c>
      <c r="L273" s="85">
        <f>IF(I273="","",(K273)*$G$273)</f>
        <v>10789.3</v>
      </c>
      <c r="M273" s="705">
        <f t="shared" ref="M273" si="601">IFERROR(AVERAGE(L273:L274),"")</f>
        <v>10594.15</v>
      </c>
      <c r="N273" s="707">
        <f t="shared" ref="N273" si="602">IFERROR(HARMEAN(L273:L274),"")</f>
        <v>10590.555230952932</v>
      </c>
      <c r="O273" s="707">
        <f t="shared" ref="O273" si="603">IFERROR(MEDIAN(L273:L274),"")</f>
        <v>10594.15</v>
      </c>
      <c r="P273" s="25">
        <f t="shared" si="566"/>
        <v>10789.3</v>
      </c>
      <c r="Q273" s="544">
        <f t="shared" ref="Q273" si="604">IFERROR(SUM(P273:P274)/COUNTA(K273:K274),"")</f>
        <v>10594.15</v>
      </c>
      <c r="R273" s="542">
        <f t="shared" ref="R273" si="605">IFERROR(_xlfn.STDEV.S(L273:L274),"")</f>
        <v>275.98377669710902</v>
      </c>
      <c r="S273" s="545">
        <f t="shared" ref="S273" si="606">IFERROR(R273/M273,"")</f>
        <v>2.6050582321102592E-2</v>
      </c>
      <c r="T273" s="539" t="s">
        <v>881</v>
      </c>
      <c r="U273" s="540">
        <f t="shared" si="531"/>
        <v>10594.15</v>
      </c>
      <c r="V273" s="714" t="s">
        <v>882</v>
      </c>
      <c r="W273" s="190"/>
    </row>
    <row r="274" spans="1:23" ht="40.5" customHeight="1" x14ac:dyDescent="0.3">
      <c r="A274" s="496"/>
      <c r="B274" s="697"/>
      <c r="C274" s="699"/>
      <c r="D274" s="701"/>
      <c r="E274" s="713"/>
      <c r="F274" s="704"/>
      <c r="G274" s="697"/>
      <c r="H274" s="48" t="s">
        <v>874</v>
      </c>
      <c r="I274" s="32">
        <f t="shared" si="570"/>
        <v>8738.6554621848736</v>
      </c>
      <c r="J274" s="33">
        <f t="shared" si="562"/>
        <v>19.000000000000007</v>
      </c>
      <c r="K274" s="195">
        <v>10399</v>
      </c>
      <c r="L274" s="85">
        <f>IF(I274="","",(K274)*$G$273)</f>
        <v>10399</v>
      </c>
      <c r="M274" s="705"/>
      <c r="N274" s="707"/>
      <c r="O274" s="707"/>
      <c r="P274" s="25">
        <f t="shared" si="566"/>
        <v>10399</v>
      </c>
      <c r="Q274" s="544"/>
      <c r="R274" s="542"/>
      <c r="S274" s="545"/>
      <c r="T274" s="539"/>
      <c r="U274" s="540">
        <f t="shared" si="531"/>
        <v>0</v>
      </c>
      <c r="V274" s="715"/>
      <c r="W274" s="190"/>
    </row>
    <row r="275" spans="1:23" ht="40.5" customHeight="1" x14ac:dyDescent="0.3">
      <c r="A275" s="496">
        <v>136</v>
      </c>
      <c r="B275" s="697">
        <v>44121706</v>
      </c>
      <c r="C275" s="699" t="s">
        <v>1530</v>
      </c>
      <c r="D275" s="701" t="s">
        <v>1531</v>
      </c>
      <c r="E275" s="669" t="s">
        <v>373</v>
      </c>
      <c r="F275" s="704" t="s">
        <v>1532</v>
      </c>
      <c r="G275" s="697">
        <v>1</v>
      </c>
      <c r="H275" s="55" t="s">
        <v>874</v>
      </c>
      <c r="I275" s="32">
        <f t="shared" si="570"/>
        <v>14846.218487394959</v>
      </c>
      <c r="J275" s="33">
        <f t="shared" si="562"/>
        <v>18.999999999999993</v>
      </c>
      <c r="K275" s="195">
        <v>17667</v>
      </c>
      <c r="L275" s="85">
        <f>IF(I275="","",(K275)*$G$275)</f>
        <v>17667</v>
      </c>
      <c r="M275" s="705">
        <f t="shared" ref="M275" si="607">IFERROR(AVERAGE(L275:L276),"")</f>
        <v>15349.7</v>
      </c>
      <c r="N275" s="707">
        <f t="shared" ref="N275" si="608">IFERROR(HARMEAN(L275:L276),"")</f>
        <v>14999.863893105403</v>
      </c>
      <c r="O275" s="707">
        <f t="shared" ref="O275" si="609">IFERROR(MEDIAN(L275:L276),"")</f>
        <v>15349.7</v>
      </c>
      <c r="P275" s="25">
        <f t="shared" si="566"/>
        <v>17667</v>
      </c>
      <c r="Q275" s="544">
        <f t="shared" ref="Q275" si="610">IFERROR(SUM(P275:P276)/COUNTA(K275:K276),"")</f>
        <v>15349.7</v>
      </c>
      <c r="R275" s="542">
        <f t="shared" ref="R275" si="611">IFERROR(_xlfn.STDEV.S(L275:L276),"")</f>
        <v>3277.1570880871614</v>
      </c>
      <c r="S275" s="545">
        <f t="shared" ref="S275" si="612">IFERROR(R275/M275,"")</f>
        <v>0.21349974840466987</v>
      </c>
      <c r="T275" s="539" t="s">
        <v>881</v>
      </c>
      <c r="U275" s="540">
        <f t="shared" si="531"/>
        <v>15349.7</v>
      </c>
      <c r="V275" s="714" t="s">
        <v>882</v>
      </c>
      <c r="W275" s="190"/>
    </row>
    <row r="276" spans="1:23" ht="40.5" customHeight="1" x14ac:dyDescent="0.3">
      <c r="A276" s="496"/>
      <c r="B276" s="697"/>
      <c r="C276" s="699"/>
      <c r="D276" s="701"/>
      <c r="E276" s="669"/>
      <c r="F276" s="704"/>
      <c r="G276" s="697"/>
      <c r="H276" s="48" t="s">
        <v>820</v>
      </c>
      <c r="I276" s="32">
        <f t="shared" si="570"/>
        <v>10951.596638655463</v>
      </c>
      <c r="J276" s="33">
        <f t="shared" si="562"/>
        <v>18.999999999999989</v>
      </c>
      <c r="K276" s="195">
        <v>13032.4</v>
      </c>
      <c r="L276" s="85">
        <f>IF(I276="","",(K276)*$G$275)</f>
        <v>13032.4</v>
      </c>
      <c r="M276" s="705"/>
      <c r="N276" s="707"/>
      <c r="O276" s="707"/>
      <c r="P276" s="25">
        <f t="shared" si="566"/>
        <v>13032.4</v>
      </c>
      <c r="Q276" s="544"/>
      <c r="R276" s="542"/>
      <c r="S276" s="545"/>
      <c r="T276" s="539"/>
      <c r="U276" s="540">
        <f t="shared" si="531"/>
        <v>0</v>
      </c>
      <c r="V276" s="715"/>
      <c r="W276" s="190"/>
    </row>
    <row r="277" spans="1:23" ht="40.5" customHeight="1" x14ac:dyDescent="0.3">
      <c r="A277" s="496">
        <v>137</v>
      </c>
      <c r="B277" s="697">
        <v>45111601</v>
      </c>
      <c r="C277" s="699" t="s">
        <v>1533</v>
      </c>
      <c r="D277" s="701" t="s">
        <v>1534</v>
      </c>
      <c r="E277" s="669" t="s">
        <v>79</v>
      </c>
      <c r="F277" s="704" t="s">
        <v>79</v>
      </c>
      <c r="G277" s="697">
        <v>1</v>
      </c>
      <c r="H277" s="55" t="s">
        <v>874</v>
      </c>
      <c r="I277" s="32">
        <f t="shared" si="570"/>
        <v>41852.100840336134</v>
      </c>
      <c r="J277" s="33">
        <f t="shared" si="562"/>
        <v>19.000000000000004</v>
      </c>
      <c r="K277" s="195">
        <v>49804</v>
      </c>
      <c r="L277" s="85">
        <f>IF(I277="","",(K277)*$G$277)</f>
        <v>49804</v>
      </c>
      <c r="M277" s="705">
        <f t="shared" ref="M277" si="613">IFERROR(AVERAGE(L277:L278),"")</f>
        <v>55715.86</v>
      </c>
      <c r="N277" s="707">
        <f t="shared" ref="N277" si="614">IFERROR(HARMEAN(L277:L278),"")</f>
        <v>55088.568441373784</v>
      </c>
      <c r="O277" s="707">
        <f t="shared" ref="O277" si="615">IFERROR(MEDIAN(L277:L278),"")</f>
        <v>55715.86</v>
      </c>
      <c r="P277" s="25">
        <f t="shared" si="566"/>
        <v>49804</v>
      </c>
      <c r="Q277" s="544">
        <f t="shared" ref="Q277" si="616">IFERROR(SUM(P277:P278)/COUNTA(K277:K278),"")</f>
        <v>55715.86</v>
      </c>
      <c r="R277" s="542">
        <f t="shared" ref="R277" si="617">IFERROR(_xlfn.STDEV.S(L277:L278),"")</f>
        <v>8360.6325908510371</v>
      </c>
      <c r="S277" s="545">
        <f t="shared" ref="S277" si="618">IFERROR(R277/M277,"")</f>
        <v>0.15005839613444066</v>
      </c>
      <c r="T277" s="539" t="s">
        <v>2075</v>
      </c>
      <c r="U277" s="540">
        <f t="shared" si="531"/>
        <v>55715.86</v>
      </c>
      <c r="V277" s="695" t="s">
        <v>1535</v>
      </c>
      <c r="W277" s="190" t="s">
        <v>1426</v>
      </c>
    </row>
    <row r="278" spans="1:23" ht="40.5" customHeight="1" x14ac:dyDescent="0.3">
      <c r="A278" s="496"/>
      <c r="B278" s="697"/>
      <c r="C278" s="699"/>
      <c r="D278" s="701"/>
      <c r="E278" s="669"/>
      <c r="F278" s="704"/>
      <c r="G278" s="697"/>
      <c r="H278" s="48" t="s">
        <v>1122</v>
      </c>
      <c r="I278" s="32">
        <f t="shared" si="570"/>
        <v>51788</v>
      </c>
      <c r="J278" s="33">
        <f t="shared" si="562"/>
        <v>19.000000000000004</v>
      </c>
      <c r="K278" s="195">
        <f>(51788*19%)+51788</f>
        <v>61627.72</v>
      </c>
      <c r="L278" s="85">
        <f>IF(I278="","",(K278)*$G$277)</f>
        <v>61627.72</v>
      </c>
      <c r="M278" s="705"/>
      <c r="N278" s="707"/>
      <c r="O278" s="707"/>
      <c r="P278" s="25">
        <f t="shared" si="566"/>
        <v>61627.72</v>
      </c>
      <c r="Q278" s="544"/>
      <c r="R278" s="542"/>
      <c r="S278" s="545"/>
      <c r="T278" s="539"/>
      <c r="U278" s="540">
        <f t="shared" si="531"/>
        <v>0</v>
      </c>
      <c r="V278" s="712"/>
      <c r="W278" s="192" t="s">
        <v>1536</v>
      </c>
    </row>
    <row r="279" spans="1:23" ht="40.5" customHeight="1" x14ac:dyDescent="0.3">
      <c r="A279" s="496">
        <v>138</v>
      </c>
      <c r="B279" s="697">
        <v>44122019</v>
      </c>
      <c r="C279" s="699" t="s">
        <v>1537</v>
      </c>
      <c r="D279" s="701" t="s">
        <v>1538</v>
      </c>
      <c r="E279" s="713" t="s">
        <v>290</v>
      </c>
      <c r="F279" s="704" t="s">
        <v>1539</v>
      </c>
      <c r="G279" s="697">
        <v>1</v>
      </c>
      <c r="H279" s="55" t="s">
        <v>1379</v>
      </c>
      <c r="I279" s="32">
        <f t="shared" si="570"/>
        <v>18500</v>
      </c>
      <c r="J279" s="33">
        <f t="shared" si="562"/>
        <v>19</v>
      </c>
      <c r="K279" s="195">
        <f>(18500*19%)+18500</f>
        <v>22015</v>
      </c>
      <c r="L279" s="85">
        <f>IF(I279="","",(K279)*$G$279)</f>
        <v>22015</v>
      </c>
      <c r="M279" s="705">
        <f t="shared" ref="M279" si="619">IFERROR(AVERAGE(L279:L280),"")</f>
        <v>18182.605</v>
      </c>
      <c r="N279" s="707">
        <f t="shared" ref="N279" si="620">IFERROR(HARMEAN(L279:L280),"")</f>
        <v>17374.841127000229</v>
      </c>
      <c r="O279" s="707">
        <f t="shared" ref="O279" si="621">IFERROR(MEDIAN(L279:L280),"")</f>
        <v>18182.605</v>
      </c>
      <c r="P279" s="25">
        <f t="shared" si="566"/>
        <v>22015</v>
      </c>
      <c r="Q279" s="544">
        <f t="shared" ref="Q279" si="622">IFERROR(SUM(P279:P280)/COUNTA(K279:K280),"")</f>
        <v>18182.605</v>
      </c>
      <c r="R279" s="542">
        <f t="shared" ref="R279" si="623">IFERROR(_xlfn.STDEV.S(L279:L280),"")</f>
        <v>5419.8249853708421</v>
      </c>
      <c r="S279" s="545">
        <f t="shared" ref="S279" si="624">IFERROR(R279/M279,"")</f>
        <v>0.29807747489267034</v>
      </c>
      <c r="T279" s="692" t="s">
        <v>2076</v>
      </c>
      <c r="U279" s="540">
        <f t="shared" si="531"/>
        <v>18182.605</v>
      </c>
      <c r="V279" s="695" t="s">
        <v>1540</v>
      </c>
      <c r="W279" s="192" t="s">
        <v>1541</v>
      </c>
    </row>
    <row r="280" spans="1:23" ht="40.5" customHeight="1" x14ac:dyDescent="0.3">
      <c r="A280" s="496"/>
      <c r="B280" s="697"/>
      <c r="C280" s="699"/>
      <c r="D280" s="701"/>
      <c r="E280" s="713"/>
      <c r="F280" s="704"/>
      <c r="G280" s="697"/>
      <c r="H280" s="48" t="s">
        <v>1542</v>
      </c>
      <c r="I280" s="32">
        <f t="shared" si="570"/>
        <v>12059</v>
      </c>
      <c r="J280" s="33">
        <f t="shared" si="562"/>
        <v>18.999999999999993</v>
      </c>
      <c r="K280" s="195">
        <f>(12059*19%)+12059</f>
        <v>14350.21</v>
      </c>
      <c r="L280" s="85">
        <f>IF(I280="","",(K280)*$G$279)</f>
        <v>14350.21</v>
      </c>
      <c r="M280" s="705"/>
      <c r="N280" s="707"/>
      <c r="O280" s="707"/>
      <c r="P280" s="25">
        <f t="shared" si="566"/>
        <v>14350.21</v>
      </c>
      <c r="Q280" s="544"/>
      <c r="R280" s="542"/>
      <c r="S280" s="545"/>
      <c r="T280" s="711"/>
      <c r="U280" s="540">
        <f t="shared" si="531"/>
        <v>0</v>
      </c>
      <c r="V280" s="712"/>
      <c r="W280" s="192" t="s">
        <v>1543</v>
      </c>
    </row>
    <row r="281" spans="1:23" ht="40.5" customHeight="1" x14ac:dyDescent="0.3">
      <c r="A281" s="496">
        <v>139</v>
      </c>
      <c r="B281" s="697">
        <v>41111604</v>
      </c>
      <c r="C281" s="699" t="s">
        <v>1544</v>
      </c>
      <c r="D281" s="701" t="s">
        <v>1545</v>
      </c>
      <c r="E281" s="669" t="s">
        <v>79</v>
      </c>
      <c r="F281" s="704" t="s">
        <v>570</v>
      </c>
      <c r="G281" s="697">
        <v>1</v>
      </c>
      <c r="H281" s="55" t="s">
        <v>867</v>
      </c>
      <c r="I281" s="32">
        <f t="shared" si="570"/>
        <v>3600</v>
      </c>
      <c r="J281" s="33">
        <f t="shared" si="562"/>
        <v>19</v>
      </c>
      <c r="K281" s="195">
        <f>(3600*19%)+3600</f>
        <v>4284</v>
      </c>
      <c r="L281" s="85">
        <f>IF(I281="","",(K281)*$G$281)</f>
        <v>4284</v>
      </c>
      <c r="M281" s="705">
        <f t="shared" ref="M281" si="625">IFERROR(AVERAGE(L281:L282),"")</f>
        <v>5240.2</v>
      </c>
      <c r="N281" s="707">
        <f t="shared" ref="N281" si="626">IFERROR(HARMEAN(L281:L282),"")</f>
        <v>5065.7184076943622</v>
      </c>
      <c r="O281" s="707">
        <f t="shared" ref="O281" si="627">IFERROR(MEDIAN(L281:L282),"")</f>
        <v>5240.2</v>
      </c>
      <c r="P281" s="25">
        <f t="shared" si="566"/>
        <v>4284</v>
      </c>
      <c r="Q281" s="544">
        <f t="shared" ref="Q281" si="628">IFERROR(SUM(P281:P282)/COUNTA(K281:K282),"")</f>
        <v>5240.2</v>
      </c>
      <c r="R281" s="542">
        <f t="shared" ref="R281" si="629">IFERROR(_xlfn.STDEV.S(L281:L282),"")</f>
        <v>1352.2710083411516</v>
      </c>
      <c r="S281" s="545">
        <f t="shared" ref="S281" si="630">IFERROR(R281/M281,"")</f>
        <v>0.25805713681560849</v>
      </c>
      <c r="T281" s="539" t="s">
        <v>2075</v>
      </c>
      <c r="U281" s="540">
        <f t="shared" si="531"/>
        <v>5240.2</v>
      </c>
      <c r="V281" s="695" t="s">
        <v>1546</v>
      </c>
      <c r="W281" s="192" t="s">
        <v>1547</v>
      </c>
    </row>
    <row r="282" spans="1:23" ht="40.5" customHeight="1" x14ac:dyDescent="0.25">
      <c r="A282" s="496"/>
      <c r="B282" s="697"/>
      <c r="C282" s="699"/>
      <c r="D282" s="701"/>
      <c r="E282" s="669"/>
      <c r="F282" s="704"/>
      <c r="G282" s="697"/>
      <c r="H282" s="48" t="s">
        <v>820</v>
      </c>
      <c r="I282" s="32">
        <f t="shared" si="570"/>
        <v>5207.0588235294117</v>
      </c>
      <c r="J282" s="33">
        <f t="shared" si="562"/>
        <v>18.999999999999993</v>
      </c>
      <c r="K282" s="195">
        <v>6196.4</v>
      </c>
      <c r="L282" s="85">
        <f>IF(I282="","",(K282)*$G$281)</f>
        <v>6196.4</v>
      </c>
      <c r="M282" s="705"/>
      <c r="N282" s="707"/>
      <c r="O282" s="707"/>
      <c r="P282" s="25">
        <f t="shared" si="566"/>
        <v>6196.4</v>
      </c>
      <c r="Q282" s="544"/>
      <c r="R282" s="542"/>
      <c r="S282" s="545"/>
      <c r="T282" s="539"/>
      <c r="U282" s="540">
        <f t="shared" si="531"/>
        <v>0</v>
      </c>
      <c r="V282" s="712"/>
      <c r="W282" s="189" t="s">
        <v>822</v>
      </c>
    </row>
    <row r="283" spans="1:23" ht="40.5" customHeight="1" x14ac:dyDescent="0.3">
      <c r="A283" s="496">
        <v>140</v>
      </c>
      <c r="B283" s="697">
        <v>41111604</v>
      </c>
      <c r="C283" s="699" t="s">
        <v>1548</v>
      </c>
      <c r="D283" s="701" t="s">
        <v>1549</v>
      </c>
      <c r="E283" s="669" t="s">
        <v>79</v>
      </c>
      <c r="F283" s="704" t="s">
        <v>901</v>
      </c>
      <c r="G283" s="697">
        <v>1</v>
      </c>
      <c r="H283" s="55" t="s">
        <v>1550</v>
      </c>
      <c r="I283" s="32">
        <f t="shared" si="570"/>
        <v>1900</v>
      </c>
      <c r="J283" s="33">
        <f t="shared" si="562"/>
        <v>19</v>
      </c>
      <c r="K283" s="195">
        <f>(1900*19%)+1900</f>
        <v>2261</v>
      </c>
      <c r="L283" s="85">
        <f>IF(I283="","",(K283)*$G$283)</f>
        <v>2261</v>
      </c>
      <c r="M283" s="705">
        <f t="shared" ref="M283" si="631">IFERROR(AVERAGE(L283:L284),"")</f>
        <v>1487.5</v>
      </c>
      <c r="N283" s="707">
        <f t="shared" ref="N283" si="632">IFERROR(HARMEAN(L283:L284),"")</f>
        <v>1085.28</v>
      </c>
      <c r="O283" s="707">
        <f t="shared" ref="O283" si="633">IFERROR(MEDIAN(L283:L284),"")</f>
        <v>1487.5</v>
      </c>
      <c r="P283" s="25">
        <f t="shared" si="566"/>
        <v>2261</v>
      </c>
      <c r="Q283" s="544">
        <f t="shared" ref="Q283" si="634">IFERROR(SUM(P283:P284)/COUNTA(K283:K284),"")</f>
        <v>1487.5</v>
      </c>
      <c r="R283" s="542">
        <f t="shared" ref="R283" si="635">IFERROR(_xlfn.STDEV.S(L283:L284),"")</f>
        <v>1093.8941904955891</v>
      </c>
      <c r="S283" s="545">
        <f t="shared" ref="S283" si="636">IFERROR(R283/M283,"")</f>
        <v>0.73539105243400948</v>
      </c>
      <c r="T283" s="692" t="s">
        <v>2076</v>
      </c>
      <c r="U283" s="540">
        <f t="shared" si="531"/>
        <v>1487.5</v>
      </c>
      <c r="V283" s="695" t="s">
        <v>1551</v>
      </c>
      <c r="W283" s="192" t="s">
        <v>1552</v>
      </c>
    </row>
    <row r="284" spans="1:23" ht="40.5" customHeight="1" x14ac:dyDescent="0.3">
      <c r="A284" s="496"/>
      <c r="B284" s="697"/>
      <c r="C284" s="699"/>
      <c r="D284" s="701"/>
      <c r="E284" s="669"/>
      <c r="F284" s="704"/>
      <c r="G284" s="697"/>
      <c r="H284" s="48" t="s">
        <v>1553</v>
      </c>
      <c r="I284" s="32">
        <f t="shared" si="570"/>
        <v>600</v>
      </c>
      <c r="J284" s="33">
        <f t="shared" si="562"/>
        <v>19</v>
      </c>
      <c r="K284" s="195">
        <f>(600*19%)+600</f>
        <v>714</v>
      </c>
      <c r="L284" s="85">
        <f>IF(I284="","",(K284)*$G$283)</f>
        <v>714</v>
      </c>
      <c r="M284" s="705"/>
      <c r="N284" s="707"/>
      <c r="O284" s="707"/>
      <c r="P284" s="25">
        <f t="shared" si="566"/>
        <v>714</v>
      </c>
      <c r="Q284" s="544"/>
      <c r="R284" s="542"/>
      <c r="S284" s="545"/>
      <c r="T284" s="711"/>
      <c r="U284" s="540">
        <f t="shared" si="531"/>
        <v>0</v>
      </c>
      <c r="V284" s="712"/>
      <c r="W284" s="192" t="s">
        <v>1554</v>
      </c>
    </row>
    <row r="285" spans="1:23" ht="40.5" customHeight="1" x14ac:dyDescent="0.3">
      <c r="A285" s="496">
        <v>141</v>
      </c>
      <c r="B285" s="697">
        <v>14111516</v>
      </c>
      <c r="C285" s="699" t="s">
        <v>1555</v>
      </c>
      <c r="D285" s="701" t="s">
        <v>1556</v>
      </c>
      <c r="E285" s="713" t="s">
        <v>290</v>
      </c>
      <c r="F285" s="704" t="s">
        <v>290</v>
      </c>
      <c r="G285" s="697">
        <v>1</v>
      </c>
      <c r="H285" s="55" t="s">
        <v>874</v>
      </c>
      <c r="I285" s="32">
        <f t="shared" si="570"/>
        <v>8148.7394957983197</v>
      </c>
      <c r="J285" s="33">
        <f t="shared" si="562"/>
        <v>18.999999999999993</v>
      </c>
      <c r="K285" s="195">
        <v>9697</v>
      </c>
      <c r="L285" s="85">
        <f>IF(I285="","",(K285)*$G$285)</f>
        <v>9697</v>
      </c>
      <c r="M285" s="705">
        <f t="shared" ref="M285" si="637">IFERROR(AVERAGE(L285:L286),"")</f>
        <v>15305.85</v>
      </c>
      <c r="N285" s="707">
        <f t="shared" ref="N285" si="638">IFERROR(HARMEAN(L285:L286),"")</f>
        <v>13250.479123995074</v>
      </c>
      <c r="O285" s="707">
        <f t="shared" ref="O285" si="639">IFERROR(MEDIAN(L285:L286),"")</f>
        <v>15305.85</v>
      </c>
      <c r="P285" s="25">
        <f t="shared" si="566"/>
        <v>9697</v>
      </c>
      <c r="Q285" s="544">
        <f t="shared" ref="Q285" si="640">IFERROR(SUM(P285:P286)/COUNTA(K285:K286),"")</f>
        <v>15305.85</v>
      </c>
      <c r="R285" s="542">
        <f t="shared" ref="R285" si="641">IFERROR(_xlfn.STDEV.S(L285:L286),"")</f>
        <v>7932.1117393163368</v>
      </c>
      <c r="S285" s="545">
        <f t="shared" ref="S285" si="642">IFERROR(R285/M285,"")</f>
        <v>0.51824052498334539</v>
      </c>
      <c r="T285" s="539" t="s">
        <v>881</v>
      </c>
      <c r="U285" s="540">
        <f t="shared" si="531"/>
        <v>15305.85</v>
      </c>
      <c r="V285" s="714" t="s">
        <v>882</v>
      </c>
      <c r="W285" s="190"/>
    </row>
    <row r="286" spans="1:23" ht="40.5" customHeight="1" x14ac:dyDescent="0.3">
      <c r="A286" s="496"/>
      <c r="B286" s="697"/>
      <c r="C286" s="699"/>
      <c r="D286" s="701"/>
      <c r="E286" s="713"/>
      <c r="F286" s="704"/>
      <c r="G286" s="697"/>
      <c r="H286" s="48" t="s">
        <v>820</v>
      </c>
      <c r="I286" s="32">
        <f t="shared" si="570"/>
        <v>17575.378151260506</v>
      </c>
      <c r="J286" s="33">
        <f t="shared" si="562"/>
        <v>18.999999999999993</v>
      </c>
      <c r="K286" s="195">
        <v>20914.7</v>
      </c>
      <c r="L286" s="85">
        <f>IF(I286="","",(K286)*$G$285)</f>
        <v>20914.7</v>
      </c>
      <c r="M286" s="705"/>
      <c r="N286" s="707"/>
      <c r="O286" s="707"/>
      <c r="P286" s="25">
        <f t="shared" si="566"/>
        <v>20914.7</v>
      </c>
      <c r="Q286" s="544"/>
      <c r="R286" s="542"/>
      <c r="S286" s="545"/>
      <c r="T286" s="539"/>
      <c r="U286" s="540">
        <f t="shared" si="531"/>
        <v>0</v>
      </c>
      <c r="V286" s="715"/>
      <c r="W286" s="190"/>
    </row>
    <row r="287" spans="1:23" ht="40.5" customHeight="1" x14ac:dyDescent="0.3">
      <c r="A287" s="496">
        <v>142</v>
      </c>
      <c r="B287" s="697">
        <v>22101703</v>
      </c>
      <c r="C287" s="699" t="s">
        <v>1557</v>
      </c>
      <c r="D287" s="701" t="s">
        <v>1558</v>
      </c>
      <c r="E287" s="713" t="s">
        <v>290</v>
      </c>
      <c r="F287" s="704" t="s">
        <v>1559</v>
      </c>
      <c r="G287" s="697">
        <v>1</v>
      </c>
      <c r="H287" s="48" t="s">
        <v>1553</v>
      </c>
      <c r="I287" s="32">
        <f>IFERROR(K287/((100+J287)/100),"")</f>
        <v>2000</v>
      </c>
      <c r="J287" s="33">
        <f>IF(K287="","",(K287-(K287/1.19))/(K287/1.19)*100)</f>
        <v>19</v>
      </c>
      <c r="K287" s="195">
        <f>(2000*19%)+2000</f>
        <v>2380</v>
      </c>
      <c r="L287" s="85">
        <f>IF(I287="","",(K287)*$G$287)</f>
        <v>2380</v>
      </c>
      <c r="M287" s="705">
        <f t="shared" ref="M287" si="643">IFERROR(AVERAGE(L287:L288),"")</f>
        <v>4952.1499999999996</v>
      </c>
      <c r="N287" s="707">
        <f t="shared" ref="N287" si="644">IFERROR(HARMEAN(L287:L288),"")</f>
        <v>3616.173581171814</v>
      </c>
      <c r="O287" s="707">
        <f t="shared" ref="O287" si="645">IFERROR(MEDIAN(L287:L288),"")</f>
        <v>4952.1499999999996</v>
      </c>
      <c r="P287" s="25">
        <f t="shared" si="566"/>
        <v>2380</v>
      </c>
      <c r="Q287" s="544">
        <f>IFERROR(SUM(P287:P288)/COUNTA(K287:K288),"")</f>
        <v>4952.1499999999996</v>
      </c>
      <c r="R287" s="542">
        <f t="shared" ref="R287" si="646">IFERROR(_xlfn.STDEV.S(L287:L288),"")</f>
        <v>3637.5694144579579</v>
      </c>
      <c r="S287" s="545">
        <f t="shared" ref="S287" si="647">IFERROR(R287/M287,"")</f>
        <v>0.7345434638405457</v>
      </c>
      <c r="T287" s="539" t="s">
        <v>2075</v>
      </c>
      <c r="U287" s="540">
        <f t="shared" si="531"/>
        <v>4952.1499999999996</v>
      </c>
      <c r="V287" s="695" t="s">
        <v>1560</v>
      </c>
      <c r="W287" s="192" t="s">
        <v>1561</v>
      </c>
    </row>
    <row r="288" spans="1:23" ht="40.5" customHeight="1" x14ac:dyDescent="0.25">
      <c r="A288" s="496"/>
      <c r="B288" s="697"/>
      <c r="C288" s="699"/>
      <c r="D288" s="701"/>
      <c r="E288" s="713"/>
      <c r="F288" s="704"/>
      <c r="G288" s="697"/>
      <c r="H288" s="48" t="s">
        <v>820</v>
      </c>
      <c r="I288" s="32">
        <f>IFERROR(K288/((100+J288)/100),"")</f>
        <v>6322.9411764705883</v>
      </c>
      <c r="J288" s="33">
        <f>IF(K288="","",(K288-(K288/1.19))/(K288/1.19)*100)</f>
        <v>19.000000000000004</v>
      </c>
      <c r="K288" s="195">
        <v>7524.3</v>
      </c>
      <c r="L288" s="85">
        <f>IF(I288="","",(K288)*$G$287)</f>
        <v>7524.3</v>
      </c>
      <c r="M288" s="705"/>
      <c r="N288" s="707"/>
      <c r="O288" s="707"/>
      <c r="P288" s="25">
        <f t="shared" si="566"/>
        <v>7524.3</v>
      </c>
      <c r="Q288" s="544"/>
      <c r="R288" s="542"/>
      <c r="S288" s="545"/>
      <c r="T288" s="539"/>
      <c r="U288" s="540">
        <f t="shared" si="531"/>
        <v>0</v>
      </c>
      <c r="V288" s="712"/>
      <c r="W288" s="189" t="s">
        <v>822</v>
      </c>
    </row>
    <row r="289" spans="1:23" ht="40.5" customHeight="1" x14ac:dyDescent="0.3">
      <c r="A289" s="496">
        <v>143</v>
      </c>
      <c r="B289" s="697">
        <v>44121716</v>
      </c>
      <c r="C289" s="699" t="s">
        <v>1562</v>
      </c>
      <c r="D289" s="701" t="s">
        <v>1563</v>
      </c>
      <c r="E289" s="669" t="s">
        <v>373</v>
      </c>
      <c r="F289" s="704" t="s">
        <v>1564</v>
      </c>
      <c r="G289" s="697">
        <v>1</v>
      </c>
      <c r="H289" s="55" t="s">
        <v>874</v>
      </c>
      <c r="I289" s="32">
        <f t="shared" si="570"/>
        <v>38325.210084033613</v>
      </c>
      <c r="J289" s="33">
        <f t="shared" si="562"/>
        <v>19</v>
      </c>
      <c r="K289" s="195">
        <v>45607</v>
      </c>
      <c r="L289" s="85">
        <f>IF(I289="","",(K289)*$G$289)</f>
        <v>45607</v>
      </c>
      <c r="M289" s="705">
        <f t="shared" ref="M289" si="648">IFERROR(AVERAGE(L289:L290),"")</f>
        <v>46125.05</v>
      </c>
      <c r="N289" s="707">
        <f t="shared" ref="N289" si="649">IFERROR(HARMEAN(L289:L290),"")</f>
        <v>46119.231560724591</v>
      </c>
      <c r="O289" s="707">
        <f t="shared" ref="O289" si="650">IFERROR(MEDIAN(L289:L290),"")</f>
        <v>46125.05</v>
      </c>
      <c r="P289" s="25">
        <f t="shared" si="566"/>
        <v>45607</v>
      </c>
      <c r="Q289" s="544">
        <f t="shared" ref="Q289" si="651">IFERROR(SUM(P289:P290)/COUNTA(K289:K290),"")</f>
        <v>46125.05</v>
      </c>
      <c r="R289" s="542">
        <f t="shared" ref="R289" si="652">IFERROR(_xlfn.STDEV.S(L289:L290),"")</f>
        <v>732.63333598738086</v>
      </c>
      <c r="S289" s="545">
        <f t="shared" ref="S289" si="653">IFERROR(R289/M289,"")</f>
        <v>1.5883632342672382E-2</v>
      </c>
      <c r="T289" s="539" t="s">
        <v>881</v>
      </c>
      <c r="U289" s="540">
        <f t="shared" si="531"/>
        <v>46125.05</v>
      </c>
      <c r="V289" s="714" t="s">
        <v>882</v>
      </c>
      <c r="W289" s="190"/>
    </row>
    <row r="290" spans="1:23" ht="40.5" customHeight="1" x14ac:dyDescent="0.3">
      <c r="A290" s="496"/>
      <c r="B290" s="697"/>
      <c r="C290" s="699"/>
      <c r="D290" s="701"/>
      <c r="E290" s="669"/>
      <c r="F290" s="704"/>
      <c r="G290" s="697"/>
      <c r="H290" s="48" t="s">
        <v>820</v>
      </c>
      <c r="I290" s="32">
        <f t="shared" si="570"/>
        <v>39195.882352941175</v>
      </c>
      <c r="J290" s="33">
        <f t="shared" si="562"/>
        <v>19</v>
      </c>
      <c r="K290" s="195">
        <v>46643.1</v>
      </c>
      <c r="L290" s="85">
        <f>IF(I290="","",(K290)*$G$289)</f>
        <v>46643.1</v>
      </c>
      <c r="M290" s="705"/>
      <c r="N290" s="707"/>
      <c r="O290" s="707"/>
      <c r="P290" s="25">
        <f t="shared" si="566"/>
        <v>46643.1</v>
      </c>
      <c r="Q290" s="544"/>
      <c r="R290" s="542"/>
      <c r="S290" s="545"/>
      <c r="T290" s="539"/>
      <c r="U290" s="540">
        <f t="shared" si="531"/>
        <v>0</v>
      </c>
      <c r="V290" s="715"/>
      <c r="W290" s="190"/>
    </row>
    <row r="291" spans="1:23" ht="40.5" customHeight="1" x14ac:dyDescent="0.3">
      <c r="A291" s="496">
        <v>144</v>
      </c>
      <c r="B291" s="697">
        <v>44121716</v>
      </c>
      <c r="C291" s="699" t="s">
        <v>1565</v>
      </c>
      <c r="D291" s="701" t="s">
        <v>1566</v>
      </c>
      <c r="E291" s="713" t="s">
        <v>290</v>
      </c>
      <c r="F291" s="704" t="s">
        <v>1567</v>
      </c>
      <c r="G291" s="697">
        <v>1</v>
      </c>
      <c r="H291" s="55" t="s">
        <v>1568</v>
      </c>
      <c r="I291" s="32">
        <f t="shared" si="570"/>
        <v>22500</v>
      </c>
      <c r="J291" s="33">
        <f t="shared" si="562"/>
        <v>19</v>
      </c>
      <c r="K291" s="195">
        <f>(22500*19%)+22500</f>
        <v>26775</v>
      </c>
      <c r="L291" s="85">
        <f>IF(I291="","",(K291)*$G$291)</f>
        <v>26775</v>
      </c>
      <c r="M291" s="705">
        <f t="shared" ref="M291" si="654">IFERROR(AVERAGE(L291:L292),"")</f>
        <v>25882.5</v>
      </c>
      <c r="N291" s="707">
        <f t="shared" ref="N291" si="655">IFERROR(HARMEAN(L291:L292),"")</f>
        <v>25851.72413793104</v>
      </c>
      <c r="O291" s="707">
        <f t="shared" ref="O291" si="656">IFERROR(MEDIAN(L291:L292),"")</f>
        <v>25882.5</v>
      </c>
      <c r="P291" s="25">
        <f t="shared" si="566"/>
        <v>26775</v>
      </c>
      <c r="Q291" s="544">
        <f t="shared" ref="Q291" si="657">IFERROR(SUM(P291:P292)/COUNTA(K291:K292),"")</f>
        <v>25882.5</v>
      </c>
      <c r="R291" s="542">
        <f t="shared" ref="R291" si="658">IFERROR(_xlfn.STDEV.S(L291:L292),"")</f>
        <v>1262.1856044179874</v>
      </c>
      <c r="S291" s="545">
        <f t="shared" ref="S291" si="659">IFERROR(R291/M291,"")</f>
        <v>4.8765984909417075E-2</v>
      </c>
      <c r="T291" s="692" t="s">
        <v>2076</v>
      </c>
      <c r="U291" s="540">
        <f t="shared" si="531"/>
        <v>25882.5</v>
      </c>
      <c r="V291" s="695" t="s">
        <v>1569</v>
      </c>
      <c r="W291" s="192" t="s">
        <v>1570</v>
      </c>
    </row>
    <row r="292" spans="1:23" ht="40.5" customHeight="1" x14ac:dyDescent="0.3">
      <c r="A292" s="496"/>
      <c r="B292" s="697"/>
      <c r="C292" s="699"/>
      <c r="D292" s="701"/>
      <c r="E292" s="713"/>
      <c r="F292" s="704"/>
      <c r="G292" s="697"/>
      <c r="H292" s="48" t="s">
        <v>1571</v>
      </c>
      <c r="I292" s="32">
        <f t="shared" si="570"/>
        <v>21000</v>
      </c>
      <c r="J292" s="33">
        <f t="shared" si="562"/>
        <v>19</v>
      </c>
      <c r="K292" s="195">
        <f>(21000*19%)+21000</f>
        <v>24990</v>
      </c>
      <c r="L292" s="85">
        <f>IF(I292="","",(K292)*$G$291)</f>
        <v>24990</v>
      </c>
      <c r="M292" s="705"/>
      <c r="N292" s="707"/>
      <c r="O292" s="707"/>
      <c r="P292" s="25">
        <f t="shared" si="566"/>
        <v>24990</v>
      </c>
      <c r="Q292" s="544"/>
      <c r="R292" s="542"/>
      <c r="S292" s="545"/>
      <c r="T292" s="711"/>
      <c r="U292" s="540">
        <f t="shared" si="531"/>
        <v>0</v>
      </c>
      <c r="V292" s="712"/>
      <c r="W292" s="192" t="s">
        <v>1572</v>
      </c>
    </row>
    <row r="293" spans="1:23" ht="40.5" customHeight="1" x14ac:dyDescent="0.3">
      <c r="A293" s="496">
        <v>145</v>
      </c>
      <c r="B293" s="697" t="s">
        <v>1573</v>
      </c>
      <c r="C293" s="699" t="s">
        <v>1574</v>
      </c>
      <c r="D293" s="701" t="s">
        <v>1575</v>
      </c>
      <c r="E293" s="713" t="s">
        <v>72</v>
      </c>
      <c r="F293" s="704" t="s">
        <v>72</v>
      </c>
      <c r="G293" s="697">
        <v>1</v>
      </c>
      <c r="H293" s="55" t="s">
        <v>820</v>
      </c>
      <c r="I293" s="32">
        <f t="shared" si="570"/>
        <v>22085.462184873952</v>
      </c>
      <c r="J293" s="33">
        <f t="shared" si="562"/>
        <v>18.999999999999993</v>
      </c>
      <c r="K293" s="195">
        <v>26281.7</v>
      </c>
      <c r="L293" s="85">
        <f>IF(I293="","",(K293)*$G$293)</f>
        <v>26281.7</v>
      </c>
      <c r="M293" s="705">
        <f t="shared" ref="M293" si="660">IFERROR(AVERAGE(L293:L294),"")</f>
        <v>64433.35</v>
      </c>
      <c r="N293" s="707">
        <f t="shared" ref="N293" si="661">IFERROR(HARMEAN(L293:L294),"")</f>
        <v>41843.365190541852</v>
      </c>
      <c r="O293" s="707">
        <f t="shared" ref="O293" si="662">IFERROR(MEDIAN(L293:L294),"")</f>
        <v>64433.350000000006</v>
      </c>
      <c r="P293" s="25">
        <f t="shared" si="566"/>
        <v>26281.7</v>
      </c>
      <c r="Q293" s="544">
        <f t="shared" ref="Q293" si="663">IFERROR(SUM(P293:P294)/COUNTA(K293:K294),"")</f>
        <v>64433.35</v>
      </c>
      <c r="R293" s="542">
        <f t="shared" ref="R293" si="664">IFERROR(_xlfn.STDEV.S(L293:L294),"")</f>
        <v>53954.580856911489</v>
      </c>
      <c r="S293" s="545">
        <f t="shared" ref="S293" si="665">IFERROR(R293/M293,"")</f>
        <v>0.83737041232392062</v>
      </c>
      <c r="T293" s="539" t="s">
        <v>881</v>
      </c>
      <c r="U293" s="540">
        <f t="shared" si="531"/>
        <v>64433.35</v>
      </c>
      <c r="V293" s="714" t="s">
        <v>882</v>
      </c>
      <c r="W293" s="190"/>
    </row>
    <row r="294" spans="1:23" ht="40.5" customHeight="1" x14ac:dyDescent="0.3">
      <c r="A294" s="496"/>
      <c r="B294" s="697"/>
      <c r="C294" s="699"/>
      <c r="D294" s="701"/>
      <c r="E294" s="713"/>
      <c r="F294" s="704"/>
      <c r="G294" s="697"/>
      <c r="H294" s="48" t="s">
        <v>874</v>
      </c>
      <c r="I294" s="32">
        <f t="shared" si="570"/>
        <v>86205.882352941175</v>
      </c>
      <c r="J294" s="33">
        <f t="shared" si="562"/>
        <v>19.000000000000004</v>
      </c>
      <c r="K294" s="195">
        <v>102585</v>
      </c>
      <c r="L294" s="85">
        <f>IF(I294="","",(K294)*$G$293)</f>
        <v>102585</v>
      </c>
      <c r="M294" s="705"/>
      <c r="N294" s="707"/>
      <c r="O294" s="707"/>
      <c r="P294" s="25">
        <f t="shared" si="566"/>
        <v>102585</v>
      </c>
      <c r="Q294" s="544"/>
      <c r="R294" s="542"/>
      <c r="S294" s="545"/>
      <c r="T294" s="539"/>
      <c r="U294" s="540">
        <f t="shared" si="531"/>
        <v>0</v>
      </c>
      <c r="V294" s="715"/>
      <c r="W294" s="190"/>
    </row>
    <row r="295" spans="1:23" ht="40.5" customHeight="1" x14ac:dyDescent="0.3">
      <c r="A295" s="496">
        <v>146</v>
      </c>
      <c r="B295" s="697">
        <v>55121612</v>
      </c>
      <c r="C295" s="699" t="s">
        <v>1576</v>
      </c>
      <c r="D295" s="701" t="s">
        <v>1577</v>
      </c>
      <c r="E295" s="713" t="s">
        <v>290</v>
      </c>
      <c r="F295" s="704" t="s">
        <v>1578</v>
      </c>
      <c r="G295" s="697">
        <v>1</v>
      </c>
      <c r="H295" s="55" t="s">
        <v>1579</v>
      </c>
      <c r="I295" s="32">
        <f t="shared" si="570"/>
        <v>3850</v>
      </c>
      <c r="J295" s="33">
        <f t="shared" si="562"/>
        <v>19</v>
      </c>
      <c r="K295" s="195">
        <f>(3850*19%)+3850</f>
        <v>4581.5</v>
      </c>
      <c r="L295" s="85">
        <f>IF(I295="","",(K295)*$G$295)</f>
        <v>4581.5</v>
      </c>
      <c r="M295" s="705">
        <f t="shared" ref="M295" si="666">IFERROR(AVERAGE(L295:L296),"")</f>
        <v>5563.25</v>
      </c>
      <c r="N295" s="707">
        <f t="shared" ref="N295" si="667">IFERROR(HARMEAN(L295:L296),"")</f>
        <v>5390</v>
      </c>
      <c r="O295" s="707">
        <f t="shared" ref="O295" si="668">IFERROR(MEDIAN(L295:L296),"")</f>
        <v>5563.25</v>
      </c>
      <c r="P295" s="25">
        <f t="shared" si="566"/>
        <v>4581.5</v>
      </c>
      <c r="Q295" s="544">
        <f t="shared" ref="Q295" si="669">IFERROR(SUM(P295:P296)/COUNTA(K295:K296),"")</f>
        <v>5563.25</v>
      </c>
      <c r="R295" s="542">
        <f t="shared" ref="R295" si="670">IFERROR(_xlfn.STDEV.S(L295:L296),"")</f>
        <v>1388.4041648597861</v>
      </c>
      <c r="S295" s="545">
        <f t="shared" ref="S295" si="671">IFERROR(R295/M295,"")</f>
        <v>0.24956709924231088</v>
      </c>
      <c r="T295" s="692" t="s">
        <v>2076</v>
      </c>
      <c r="U295" s="540">
        <f t="shared" si="531"/>
        <v>5563.25</v>
      </c>
      <c r="V295" s="695" t="s">
        <v>1580</v>
      </c>
      <c r="W295" s="192" t="s">
        <v>1581</v>
      </c>
    </row>
    <row r="296" spans="1:23" ht="40.5" customHeight="1" x14ac:dyDescent="0.25">
      <c r="A296" s="496"/>
      <c r="B296" s="697"/>
      <c r="C296" s="699"/>
      <c r="D296" s="701"/>
      <c r="E296" s="713"/>
      <c r="F296" s="704"/>
      <c r="G296" s="697"/>
      <c r="H296" s="48" t="s">
        <v>1582</v>
      </c>
      <c r="I296" s="32">
        <f t="shared" si="570"/>
        <v>5500</v>
      </c>
      <c r="J296" s="33">
        <f t="shared" si="562"/>
        <v>19</v>
      </c>
      <c r="K296" s="195">
        <f>(5500*19%)+5500</f>
        <v>6545</v>
      </c>
      <c r="L296" s="85">
        <f>IF(I296="","",(K296)*$G$295)</f>
        <v>6545</v>
      </c>
      <c r="M296" s="705"/>
      <c r="N296" s="707"/>
      <c r="O296" s="707"/>
      <c r="P296" s="25">
        <f t="shared" si="566"/>
        <v>6545</v>
      </c>
      <c r="Q296" s="544"/>
      <c r="R296" s="542"/>
      <c r="S296" s="545"/>
      <c r="T296" s="711"/>
      <c r="U296" s="540">
        <f t="shared" si="531"/>
        <v>0</v>
      </c>
      <c r="V296" s="712"/>
      <c r="W296" s="189" t="s">
        <v>1583</v>
      </c>
    </row>
    <row r="297" spans="1:23" ht="40.5" customHeight="1" x14ac:dyDescent="0.3">
      <c r="A297" s="496">
        <v>147</v>
      </c>
      <c r="B297" s="697">
        <v>55121612</v>
      </c>
      <c r="C297" s="699" t="s">
        <v>1584</v>
      </c>
      <c r="D297" s="701" t="s">
        <v>1585</v>
      </c>
      <c r="E297" s="713" t="s">
        <v>290</v>
      </c>
      <c r="F297" s="704" t="s">
        <v>1578</v>
      </c>
      <c r="G297" s="697">
        <v>1</v>
      </c>
      <c r="H297" s="55" t="s">
        <v>828</v>
      </c>
      <c r="I297" s="32">
        <f t="shared" si="570"/>
        <v>5500</v>
      </c>
      <c r="J297" s="33">
        <f t="shared" si="562"/>
        <v>19</v>
      </c>
      <c r="K297" s="195">
        <f>(5500*19%)+5500</f>
        <v>6545</v>
      </c>
      <c r="L297" s="85">
        <f>IF(I297="","",(K297)*$G$297)</f>
        <v>6545</v>
      </c>
      <c r="M297" s="705">
        <f t="shared" ref="M297" si="672">IFERROR(AVERAGE(L297:L298),"")</f>
        <v>7169.75</v>
      </c>
      <c r="N297" s="707">
        <f t="shared" ref="N297" si="673">IFERROR(HARMEAN(L297:L298),"")</f>
        <v>7115.3112033195021</v>
      </c>
      <c r="O297" s="707">
        <f t="shared" ref="O297" si="674">IFERROR(MEDIAN(L297:L298),"")</f>
        <v>7169.75</v>
      </c>
      <c r="P297" s="25">
        <f t="shared" si="566"/>
        <v>6545</v>
      </c>
      <c r="Q297" s="544">
        <f t="shared" ref="Q297" si="675">IFERROR(SUM(P297:P298)/COUNTA(K297:K298),"")</f>
        <v>7169.75</v>
      </c>
      <c r="R297" s="542">
        <f t="shared" ref="R297" si="676">IFERROR(_xlfn.STDEV.S(L297:L298),"")</f>
        <v>883.52992309259116</v>
      </c>
      <c r="S297" s="545">
        <f t="shared" ref="S297" si="677">IFERROR(R297/M297,"")</f>
        <v>0.12323022742670123</v>
      </c>
      <c r="T297" s="692" t="s">
        <v>2076</v>
      </c>
      <c r="U297" s="540">
        <f t="shared" si="531"/>
        <v>7169.75</v>
      </c>
      <c r="V297" s="695" t="s">
        <v>1586</v>
      </c>
      <c r="W297" s="192" t="s">
        <v>1587</v>
      </c>
    </row>
    <row r="298" spans="1:23" ht="40.5" customHeight="1" x14ac:dyDescent="0.3">
      <c r="A298" s="496"/>
      <c r="B298" s="697"/>
      <c r="C298" s="699"/>
      <c r="D298" s="701"/>
      <c r="E298" s="713"/>
      <c r="F298" s="704"/>
      <c r="G298" s="697"/>
      <c r="H298" s="48" t="s">
        <v>722</v>
      </c>
      <c r="I298" s="32">
        <f t="shared" si="570"/>
        <v>6550</v>
      </c>
      <c r="J298" s="33">
        <f t="shared" si="562"/>
        <v>19</v>
      </c>
      <c r="K298" s="195">
        <f>(6550*19%)+6550</f>
        <v>7794.5</v>
      </c>
      <c r="L298" s="85">
        <f>IF(I298="","",(K298)*$G$297)</f>
        <v>7794.5</v>
      </c>
      <c r="M298" s="705"/>
      <c r="N298" s="707"/>
      <c r="O298" s="707"/>
      <c r="P298" s="25">
        <f t="shared" si="566"/>
        <v>7794.5</v>
      </c>
      <c r="Q298" s="544"/>
      <c r="R298" s="542"/>
      <c r="S298" s="545"/>
      <c r="T298" s="711"/>
      <c r="U298" s="540">
        <f t="shared" si="531"/>
        <v>0</v>
      </c>
      <c r="V298" s="712"/>
      <c r="W298" s="192" t="s">
        <v>1588</v>
      </c>
    </row>
    <row r="299" spans="1:23" ht="40.5" customHeight="1" x14ac:dyDescent="0.3">
      <c r="A299" s="496">
        <v>148</v>
      </c>
      <c r="B299" s="697">
        <v>55121612</v>
      </c>
      <c r="C299" s="699" t="s">
        <v>1589</v>
      </c>
      <c r="D299" s="701" t="s">
        <v>1590</v>
      </c>
      <c r="E299" s="713" t="s">
        <v>290</v>
      </c>
      <c r="F299" s="704" t="s">
        <v>1578</v>
      </c>
      <c r="G299" s="697">
        <v>1</v>
      </c>
      <c r="H299" s="55" t="s">
        <v>828</v>
      </c>
      <c r="I299" s="32">
        <f t="shared" si="570"/>
        <v>5500</v>
      </c>
      <c r="J299" s="33">
        <f t="shared" si="562"/>
        <v>19</v>
      </c>
      <c r="K299" s="195">
        <f>(5500*19%)+5500</f>
        <v>6545</v>
      </c>
      <c r="L299" s="85">
        <f>IF(I299="","",(K299)*$G$299)</f>
        <v>6545</v>
      </c>
      <c r="M299" s="705">
        <f t="shared" ref="M299" si="678">IFERROR(AVERAGE(L299:L300),"")</f>
        <v>6545</v>
      </c>
      <c r="N299" s="707">
        <f t="shared" ref="N299" si="679">IFERROR(HARMEAN(L299:L300),"")</f>
        <v>6545</v>
      </c>
      <c r="O299" s="707">
        <f t="shared" ref="O299" si="680">IFERROR(MEDIAN(L299:L300),"")</f>
        <v>6545</v>
      </c>
      <c r="P299" s="25">
        <f t="shared" si="566"/>
        <v>6545</v>
      </c>
      <c r="Q299" s="544">
        <f t="shared" ref="Q299" si="681">IFERROR(SUM(P299:P300)/COUNTA(K299:K300),"")</f>
        <v>6545</v>
      </c>
      <c r="R299" s="542">
        <f t="shared" ref="R299" si="682">IFERROR(_xlfn.STDEV.S(L299:L300),"")</f>
        <v>0</v>
      </c>
      <c r="S299" s="545">
        <f t="shared" ref="S299" si="683">IFERROR(R299/M299,"")</f>
        <v>0</v>
      </c>
      <c r="T299" s="692" t="s">
        <v>2076</v>
      </c>
      <c r="U299" s="540">
        <f t="shared" si="531"/>
        <v>6545</v>
      </c>
      <c r="V299" s="695" t="s">
        <v>1591</v>
      </c>
      <c r="W299" s="192" t="s">
        <v>1592</v>
      </c>
    </row>
    <row r="300" spans="1:23" ht="40.5" customHeight="1" x14ac:dyDescent="0.3">
      <c r="A300" s="496"/>
      <c r="B300" s="697"/>
      <c r="C300" s="699"/>
      <c r="D300" s="701"/>
      <c r="E300" s="713"/>
      <c r="F300" s="704"/>
      <c r="G300" s="697"/>
      <c r="H300" s="48" t="s">
        <v>1582</v>
      </c>
      <c r="I300" s="32">
        <f t="shared" si="570"/>
        <v>5500</v>
      </c>
      <c r="J300" s="33">
        <f t="shared" si="562"/>
        <v>19</v>
      </c>
      <c r="K300" s="195">
        <f>(5500*19%)+5500</f>
        <v>6545</v>
      </c>
      <c r="L300" s="85">
        <f>IF(I300="","",(K300)*$G$299)</f>
        <v>6545</v>
      </c>
      <c r="M300" s="705"/>
      <c r="N300" s="707"/>
      <c r="O300" s="707"/>
      <c r="P300" s="25">
        <f t="shared" si="566"/>
        <v>6545</v>
      </c>
      <c r="Q300" s="544"/>
      <c r="R300" s="542"/>
      <c r="S300" s="545"/>
      <c r="T300" s="711"/>
      <c r="U300" s="540">
        <f t="shared" si="531"/>
        <v>0</v>
      </c>
      <c r="V300" s="712"/>
      <c r="W300" s="192" t="s">
        <v>1593</v>
      </c>
    </row>
    <row r="301" spans="1:23" ht="40.5" customHeight="1" x14ac:dyDescent="0.3">
      <c r="A301" s="496">
        <v>149</v>
      </c>
      <c r="B301" s="697">
        <v>44121619</v>
      </c>
      <c r="C301" s="699" t="s">
        <v>1594</v>
      </c>
      <c r="D301" s="701" t="s">
        <v>1595</v>
      </c>
      <c r="E301" s="669" t="s">
        <v>290</v>
      </c>
      <c r="F301" s="704" t="s">
        <v>1596</v>
      </c>
      <c r="G301" s="697">
        <v>1</v>
      </c>
      <c r="H301" s="55" t="s">
        <v>874</v>
      </c>
      <c r="I301" s="32">
        <f t="shared" si="570"/>
        <v>12265.546218487396</v>
      </c>
      <c r="J301" s="33">
        <f t="shared" si="562"/>
        <v>18.999999999999993</v>
      </c>
      <c r="K301" s="195">
        <v>14596</v>
      </c>
      <c r="L301" s="85">
        <f>IF(I301="","",(K301)*$G$301)</f>
        <v>14596</v>
      </c>
      <c r="M301" s="705">
        <f t="shared" ref="M301" si="684">IFERROR(AVERAGE(L301:L302),"")</f>
        <v>14081</v>
      </c>
      <c r="N301" s="707">
        <f t="shared" ref="N301" si="685">IFERROR(HARMEAN(L301:L302),"")</f>
        <v>14062.164334919396</v>
      </c>
      <c r="O301" s="707">
        <f t="shared" ref="O301" si="686">IFERROR(MEDIAN(L301:L302),"")</f>
        <v>14081</v>
      </c>
      <c r="P301" s="25">
        <f t="shared" si="566"/>
        <v>14596</v>
      </c>
      <c r="Q301" s="544">
        <f t="shared" ref="Q301" si="687">IFERROR(SUM(P301:P302)/COUNTA(K301:K302),"")</f>
        <v>14081</v>
      </c>
      <c r="R301" s="542">
        <f t="shared" ref="R301" si="688">IFERROR(_xlfn.STDEV.S(L301:L302),"")</f>
        <v>728.31998462214392</v>
      </c>
      <c r="S301" s="545">
        <f t="shared" ref="S301" si="689">IFERROR(R301/M301,"")</f>
        <v>5.1723598084095157E-2</v>
      </c>
      <c r="T301" s="539" t="s">
        <v>2075</v>
      </c>
      <c r="U301" s="540">
        <f t="shared" si="531"/>
        <v>14081</v>
      </c>
      <c r="V301" s="695" t="s">
        <v>1597</v>
      </c>
      <c r="W301" s="190" t="s">
        <v>1426</v>
      </c>
    </row>
    <row r="302" spans="1:23" ht="40.5" customHeight="1" x14ac:dyDescent="0.3">
      <c r="A302" s="496"/>
      <c r="B302" s="697"/>
      <c r="C302" s="699"/>
      <c r="D302" s="701"/>
      <c r="E302" s="669"/>
      <c r="F302" s="704"/>
      <c r="G302" s="697"/>
      <c r="H302" s="48" t="s">
        <v>722</v>
      </c>
      <c r="I302" s="32">
        <f t="shared" si="570"/>
        <v>11400</v>
      </c>
      <c r="J302" s="33">
        <f t="shared" si="562"/>
        <v>19</v>
      </c>
      <c r="K302" s="195">
        <f>(11400*19%)+11400</f>
        <v>13566</v>
      </c>
      <c r="L302" s="85">
        <f>IF(I302="","",(K302)*$G$301)</f>
        <v>13566</v>
      </c>
      <c r="M302" s="705"/>
      <c r="N302" s="707"/>
      <c r="O302" s="707"/>
      <c r="P302" s="25">
        <f t="shared" si="566"/>
        <v>13566</v>
      </c>
      <c r="Q302" s="544"/>
      <c r="R302" s="542"/>
      <c r="S302" s="545"/>
      <c r="T302" s="539"/>
      <c r="U302" s="540">
        <f t="shared" si="531"/>
        <v>0</v>
      </c>
      <c r="V302" s="712"/>
      <c r="W302" s="192" t="s">
        <v>1598</v>
      </c>
    </row>
    <row r="303" spans="1:23" ht="40.5" customHeight="1" x14ac:dyDescent="0.3">
      <c r="A303" s="496">
        <v>150</v>
      </c>
      <c r="B303" s="697">
        <v>12161809</v>
      </c>
      <c r="C303" s="699" t="s">
        <v>1599</v>
      </c>
      <c r="D303" s="701" t="s">
        <v>1600</v>
      </c>
      <c r="E303" s="669" t="s">
        <v>79</v>
      </c>
      <c r="F303" s="704" t="s">
        <v>79</v>
      </c>
      <c r="G303" s="697">
        <v>1</v>
      </c>
      <c r="H303" s="55" t="s">
        <v>874</v>
      </c>
      <c r="I303" s="32">
        <f t="shared" si="570"/>
        <v>3736.9747899159665</v>
      </c>
      <c r="J303" s="33">
        <f t="shared" si="562"/>
        <v>18.999999999999993</v>
      </c>
      <c r="K303" s="195">
        <v>4447</v>
      </c>
      <c r="L303" s="85">
        <f>IF(I303="","",(K303)*$G$303)</f>
        <v>4447</v>
      </c>
      <c r="M303" s="705">
        <f t="shared" ref="M303" si="690">IFERROR(AVERAGE(L303:L304),"")</f>
        <v>5975.4</v>
      </c>
      <c r="N303" s="707">
        <f t="shared" ref="N303" si="691">IFERROR(HARMEAN(L303:L304),"")</f>
        <v>5584.4627305285003</v>
      </c>
      <c r="O303" s="707">
        <f t="shared" ref="O303" si="692">IFERROR(MEDIAN(L303:L304),"")</f>
        <v>5975.4</v>
      </c>
      <c r="P303" s="25">
        <f t="shared" si="566"/>
        <v>4447</v>
      </c>
      <c r="Q303" s="544">
        <f t="shared" ref="Q303" si="693">IFERROR(SUM(P303:P304)/COUNTA(K303:K304),"")</f>
        <v>5975.4</v>
      </c>
      <c r="R303" s="542">
        <f t="shared" ref="R303" si="694">IFERROR(_xlfn.STDEV.S(L303:L304),"")</f>
        <v>2161.4840087310395</v>
      </c>
      <c r="S303" s="545">
        <f t="shared" ref="S303" si="695">IFERROR(R303/M303,"")</f>
        <v>0.36173042954966023</v>
      </c>
      <c r="T303" s="539" t="s">
        <v>881</v>
      </c>
      <c r="U303" s="540">
        <f t="shared" si="531"/>
        <v>5975.4</v>
      </c>
      <c r="V303" s="714" t="s">
        <v>882</v>
      </c>
      <c r="W303" s="190"/>
    </row>
    <row r="304" spans="1:23" ht="40.5" customHeight="1" x14ac:dyDescent="0.3">
      <c r="A304" s="496"/>
      <c r="B304" s="697"/>
      <c r="C304" s="699"/>
      <c r="D304" s="701"/>
      <c r="E304" s="669"/>
      <c r="F304" s="704"/>
      <c r="G304" s="697"/>
      <c r="H304" s="48" t="s">
        <v>820</v>
      </c>
      <c r="I304" s="32">
        <f t="shared" si="570"/>
        <v>6305.7142857142862</v>
      </c>
      <c r="J304" s="33">
        <f t="shared" si="562"/>
        <v>18.999999999999993</v>
      </c>
      <c r="K304" s="195">
        <v>7503.8</v>
      </c>
      <c r="L304" s="85">
        <f>IF(I304="","",(K304)*$G$303)</f>
        <v>7503.8</v>
      </c>
      <c r="M304" s="705"/>
      <c r="N304" s="707"/>
      <c r="O304" s="707"/>
      <c r="P304" s="25">
        <f t="shared" si="566"/>
        <v>7503.8</v>
      </c>
      <c r="Q304" s="544"/>
      <c r="R304" s="542"/>
      <c r="S304" s="545"/>
      <c r="T304" s="539"/>
      <c r="U304" s="540">
        <f t="shared" si="531"/>
        <v>0</v>
      </c>
      <c r="V304" s="715"/>
      <c r="W304" s="190"/>
    </row>
    <row r="305" spans="1:23" ht="40.5" customHeight="1" x14ac:dyDescent="0.3">
      <c r="A305" s="496">
        <v>151</v>
      </c>
      <c r="B305" s="697">
        <v>11122005</v>
      </c>
      <c r="C305" s="699" t="s">
        <v>1601</v>
      </c>
      <c r="D305" s="701" t="s">
        <v>1602</v>
      </c>
      <c r="E305" s="669" t="s">
        <v>79</v>
      </c>
      <c r="F305" s="704" t="s">
        <v>79</v>
      </c>
      <c r="G305" s="697">
        <v>1</v>
      </c>
      <c r="H305" s="55" t="s">
        <v>820</v>
      </c>
      <c r="I305" s="32">
        <f t="shared" si="570"/>
        <v>8975.9663865546227</v>
      </c>
      <c r="J305" s="33">
        <f t="shared" si="562"/>
        <v>18.999999999999986</v>
      </c>
      <c r="K305" s="195">
        <v>10681.4</v>
      </c>
      <c r="L305" s="85">
        <f>IF(I305="","",(K305)*$G$305)</f>
        <v>10681.4</v>
      </c>
      <c r="M305" s="705">
        <f t="shared" ref="M305" si="696">IFERROR(AVERAGE(L305:L306),"")</f>
        <v>8551.2000000000007</v>
      </c>
      <c r="N305" s="707">
        <f t="shared" ref="N305" si="697">IFERROR(HARMEAN(L305:L306),"")</f>
        <v>8020.5432453924586</v>
      </c>
      <c r="O305" s="707">
        <f t="shared" ref="O305" si="698">IFERROR(MEDIAN(L305:L306),"")</f>
        <v>8551.2000000000007</v>
      </c>
      <c r="P305" s="25">
        <f t="shared" si="566"/>
        <v>10681.4</v>
      </c>
      <c r="Q305" s="544">
        <f t="shared" ref="Q305" si="699">IFERROR(SUM(P305:P306)/COUNTA(K305:K306),"")</f>
        <v>8551.2000000000007</v>
      </c>
      <c r="R305" s="542">
        <f t="shared" ref="R305" si="700">IFERROR(_xlfn.STDEV.S(L305:L306),"")</f>
        <v>3012.5577305671595</v>
      </c>
      <c r="S305" s="545">
        <f t="shared" ref="S305" si="701">IFERROR(R305/M305,"")</f>
        <v>0.35229648827850585</v>
      </c>
      <c r="T305" s="539" t="s">
        <v>881</v>
      </c>
      <c r="U305" s="540">
        <f t="shared" si="531"/>
        <v>8551.2000000000007</v>
      </c>
      <c r="V305" s="714" t="s">
        <v>882</v>
      </c>
      <c r="W305" s="190"/>
    </row>
    <row r="306" spans="1:23" ht="40.5" customHeight="1" x14ac:dyDescent="0.3">
      <c r="A306" s="496"/>
      <c r="B306" s="697"/>
      <c r="C306" s="699"/>
      <c r="D306" s="701"/>
      <c r="E306" s="669"/>
      <c r="F306" s="704"/>
      <c r="G306" s="697"/>
      <c r="H306" s="48" t="s">
        <v>874</v>
      </c>
      <c r="I306" s="32">
        <f t="shared" si="570"/>
        <v>5395.7983193277314</v>
      </c>
      <c r="J306" s="33">
        <f t="shared" si="562"/>
        <v>18.999999999999993</v>
      </c>
      <c r="K306" s="195">
        <v>6421</v>
      </c>
      <c r="L306" s="85">
        <f>IF(I306="","",(K306)*$G$305)</f>
        <v>6421</v>
      </c>
      <c r="M306" s="705"/>
      <c r="N306" s="707"/>
      <c r="O306" s="707"/>
      <c r="P306" s="25">
        <f t="shared" si="566"/>
        <v>6421</v>
      </c>
      <c r="Q306" s="544"/>
      <c r="R306" s="542"/>
      <c r="S306" s="545"/>
      <c r="T306" s="539"/>
      <c r="U306" s="540">
        <f t="shared" si="531"/>
        <v>0</v>
      </c>
      <c r="V306" s="715"/>
      <c r="W306" s="190"/>
    </row>
    <row r="307" spans="1:23" ht="40.5" customHeight="1" x14ac:dyDescent="0.3">
      <c r="A307" s="496">
        <v>152</v>
      </c>
      <c r="B307" s="697">
        <v>44121636</v>
      </c>
      <c r="C307" s="699" t="s">
        <v>1603</v>
      </c>
      <c r="D307" s="701" t="s">
        <v>1604</v>
      </c>
      <c r="E307" s="669" t="s">
        <v>79</v>
      </c>
      <c r="F307" s="704" t="s">
        <v>901</v>
      </c>
      <c r="G307" s="697">
        <v>1</v>
      </c>
      <c r="H307" s="55" t="s">
        <v>1003</v>
      </c>
      <c r="I307" s="32">
        <f t="shared" si="570"/>
        <v>37900</v>
      </c>
      <c r="J307" s="33">
        <f t="shared" si="562"/>
        <v>19</v>
      </c>
      <c r="K307" s="195">
        <f>(37900*19%)+37900</f>
        <v>45101</v>
      </c>
      <c r="L307" s="85">
        <f>IF(I307="","",(K307)*$G$307)</f>
        <v>45101</v>
      </c>
      <c r="M307" s="705">
        <f t="shared" ref="M307" si="702">IFERROR(AVERAGE(L307:L308),"")</f>
        <v>47064.5</v>
      </c>
      <c r="N307" s="707">
        <f t="shared" ref="N307" si="703">IFERROR(HARMEAN(L307:L308),"")</f>
        <v>46982.58407079646</v>
      </c>
      <c r="O307" s="707">
        <f t="shared" ref="O307" si="704">IFERROR(MEDIAN(L307:L308),"")</f>
        <v>47064.5</v>
      </c>
      <c r="P307" s="25">
        <f t="shared" si="566"/>
        <v>45101</v>
      </c>
      <c r="Q307" s="544">
        <f t="shared" ref="Q307" si="705">IFERROR(SUM(P307:P308)/COUNTA(K307:K308),"")</f>
        <v>47064.5</v>
      </c>
      <c r="R307" s="542">
        <f t="shared" ref="R307" si="706">IFERROR(_xlfn.STDEV.S(L307:L308),"")</f>
        <v>2776.8083297195722</v>
      </c>
      <c r="S307" s="545">
        <f t="shared" ref="S307" si="707">IFERROR(R307/M307,"")</f>
        <v>5.9000060124288413E-2</v>
      </c>
      <c r="T307" s="692" t="s">
        <v>2076</v>
      </c>
      <c r="U307" s="540">
        <f t="shared" si="531"/>
        <v>47064.5</v>
      </c>
      <c r="V307" s="695" t="s">
        <v>1605</v>
      </c>
      <c r="W307" s="192" t="s">
        <v>1606</v>
      </c>
    </row>
    <row r="308" spans="1:23" ht="40.5" customHeight="1" x14ac:dyDescent="0.3">
      <c r="A308" s="496"/>
      <c r="B308" s="697"/>
      <c r="C308" s="699"/>
      <c r="D308" s="701"/>
      <c r="E308" s="669"/>
      <c r="F308" s="704"/>
      <c r="G308" s="697"/>
      <c r="H308" s="48" t="s">
        <v>722</v>
      </c>
      <c r="I308" s="32">
        <f t="shared" si="570"/>
        <v>41200</v>
      </c>
      <c r="J308" s="33">
        <f t="shared" si="562"/>
        <v>19</v>
      </c>
      <c r="K308" s="195">
        <f>(41200*19%)+41200</f>
        <v>49028</v>
      </c>
      <c r="L308" s="85">
        <f>IF(I308="","",(K308)*$G$307)</f>
        <v>49028</v>
      </c>
      <c r="M308" s="705"/>
      <c r="N308" s="707"/>
      <c r="O308" s="707"/>
      <c r="P308" s="25">
        <f t="shared" si="566"/>
        <v>49028</v>
      </c>
      <c r="Q308" s="544"/>
      <c r="R308" s="542"/>
      <c r="S308" s="545"/>
      <c r="T308" s="711"/>
      <c r="U308" s="540">
        <f t="shared" si="531"/>
        <v>0</v>
      </c>
      <c r="V308" s="712"/>
      <c r="W308" s="192" t="s">
        <v>1607</v>
      </c>
    </row>
    <row r="309" spans="1:23" ht="40.5" customHeight="1" x14ac:dyDescent="0.3">
      <c r="A309" s="496">
        <v>153</v>
      </c>
      <c r="B309" s="697">
        <v>14111518</v>
      </c>
      <c r="C309" s="699" t="s">
        <v>1608</v>
      </c>
      <c r="D309" s="701" t="s">
        <v>1609</v>
      </c>
      <c r="E309" s="713" t="s">
        <v>290</v>
      </c>
      <c r="F309" s="704" t="s">
        <v>290</v>
      </c>
      <c r="G309" s="697">
        <v>1</v>
      </c>
      <c r="H309" s="55" t="s">
        <v>874</v>
      </c>
      <c r="I309" s="32">
        <f t="shared" si="570"/>
        <v>4527.7310924369749</v>
      </c>
      <c r="J309" s="33">
        <f t="shared" si="562"/>
        <v>18.999999999999996</v>
      </c>
      <c r="K309" s="195">
        <v>5388</v>
      </c>
      <c r="L309" s="85">
        <f>IF(I309="","",(K309)*$G$309)</f>
        <v>5388</v>
      </c>
      <c r="M309" s="705">
        <f t="shared" ref="M309" si="708">IFERROR(AVERAGE(L309:L310),"")</f>
        <v>4478.3999999999996</v>
      </c>
      <c r="N309" s="707">
        <f t="shared" ref="N309" si="709">IFERROR(HARMEAN(L309:L310),"")</f>
        <v>4293.6527331189709</v>
      </c>
      <c r="O309" s="707">
        <f t="shared" ref="O309" si="710">IFERROR(MEDIAN(L309:L310),"")</f>
        <v>4478.3999999999996</v>
      </c>
      <c r="P309" s="25">
        <f t="shared" si="566"/>
        <v>5388</v>
      </c>
      <c r="Q309" s="544">
        <f t="shared" ref="Q309" si="711">IFERROR(SUM(P309:P310)/COUNTA(K309:K310),"")</f>
        <v>4478.3999999999996</v>
      </c>
      <c r="R309" s="542">
        <f t="shared" ref="R309" si="712">IFERROR(_xlfn.STDEV.S(L309:L310),"")</f>
        <v>1286.3686563345702</v>
      </c>
      <c r="S309" s="545">
        <f t="shared" ref="S309" si="713">IFERROR(R309/M309,"")</f>
        <v>0.28723844594823383</v>
      </c>
      <c r="T309" s="539" t="s">
        <v>881</v>
      </c>
      <c r="U309" s="540">
        <f t="shared" si="531"/>
        <v>4478.3999999999996</v>
      </c>
      <c r="V309" s="714" t="s">
        <v>882</v>
      </c>
      <c r="W309" s="190"/>
    </row>
    <row r="310" spans="1:23" ht="40.5" customHeight="1" x14ac:dyDescent="0.3">
      <c r="A310" s="496"/>
      <c r="B310" s="697"/>
      <c r="C310" s="699"/>
      <c r="D310" s="701"/>
      <c r="E310" s="713"/>
      <c r="F310" s="704"/>
      <c r="G310" s="697"/>
      <c r="H310" s="48" t="s">
        <v>820</v>
      </c>
      <c r="I310" s="32">
        <f t="shared" si="570"/>
        <v>2998.9915966386557</v>
      </c>
      <c r="J310" s="33">
        <f t="shared" si="562"/>
        <v>18.999999999999996</v>
      </c>
      <c r="K310" s="195">
        <v>3568.8</v>
      </c>
      <c r="L310" s="85">
        <f>IF(I310="","",(K310)*$G$309)</f>
        <v>3568.8</v>
      </c>
      <c r="M310" s="705"/>
      <c r="N310" s="707"/>
      <c r="O310" s="707"/>
      <c r="P310" s="25">
        <f t="shared" si="566"/>
        <v>3568.8</v>
      </c>
      <c r="Q310" s="544"/>
      <c r="R310" s="542"/>
      <c r="S310" s="545"/>
      <c r="T310" s="539"/>
      <c r="U310" s="540">
        <f t="shared" si="531"/>
        <v>0</v>
      </c>
      <c r="V310" s="715"/>
      <c r="W310" s="190"/>
    </row>
    <row r="311" spans="1:23" ht="40.5" customHeight="1" x14ac:dyDescent="0.3">
      <c r="A311" s="496">
        <v>154</v>
      </c>
      <c r="B311" s="697" t="s">
        <v>1527</v>
      </c>
      <c r="C311" s="699" t="s">
        <v>1610</v>
      </c>
      <c r="D311" s="701" t="s">
        <v>1611</v>
      </c>
      <c r="E311" s="713" t="s">
        <v>290</v>
      </c>
      <c r="F311" s="704" t="s">
        <v>1612</v>
      </c>
      <c r="G311" s="697">
        <v>1</v>
      </c>
      <c r="H311" s="55" t="s">
        <v>1613</v>
      </c>
      <c r="I311" s="32">
        <f t="shared" si="570"/>
        <v>43200</v>
      </c>
      <c r="J311" s="33">
        <f t="shared" si="562"/>
        <v>19</v>
      </c>
      <c r="K311" s="195">
        <f>(43200*19%)+43200</f>
        <v>51408</v>
      </c>
      <c r="L311" s="85">
        <f>IF(I311="","",(K311)*$G$311)</f>
        <v>51408</v>
      </c>
      <c r="M311" s="705">
        <f t="shared" ref="M311" si="714">IFERROR(AVERAGE(L311:L312),"")</f>
        <v>47495.875</v>
      </c>
      <c r="N311" s="707">
        <f t="shared" ref="N311" si="715">IFERROR(HARMEAN(L311:L312),"")</f>
        <v>47173.642342624487</v>
      </c>
      <c r="O311" s="707">
        <f t="shared" ref="O311" si="716">IFERROR(MEDIAN(L311:L312),"")</f>
        <v>47495.875</v>
      </c>
      <c r="P311" s="25">
        <f t="shared" si="566"/>
        <v>51408</v>
      </c>
      <c r="Q311" s="544">
        <f t="shared" ref="Q311" si="717">IFERROR(SUM(P311:P312)/COUNTA(K311:K312),"")</f>
        <v>47495.875</v>
      </c>
      <c r="R311" s="542">
        <f t="shared" ref="R311" si="718">IFERROR(_xlfn.STDEV.S(L311:L312),"")</f>
        <v>5532.5802326988442</v>
      </c>
      <c r="S311" s="545">
        <f t="shared" ref="S311" si="719">IFERROR(R311/M311,"")</f>
        <v>0.11648548916508737</v>
      </c>
      <c r="T311" s="692" t="s">
        <v>2076</v>
      </c>
      <c r="U311" s="540">
        <f t="shared" si="531"/>
        <v>47495.875</v>
      </c>
      <c r="V311" s="695" t="s">
        <v>1614</v>
      </c>
      <c r="W311" s="194" t="s">
        <v>1615</v>
      </c>
    </row>
    <row r="312" spans="1:23" ht="40.5" customHeight="1" x14ac:dyDescent="0.3">
      <c r="A312" s="496"/>
      <c r="B312" s="697"/>
      <c r="C312" s="699"/>
      <c r="D312" s="701"/>
      <c r="E312" s="713"/>
      <c r="F312" s="704"/>
      <c r="G312" s="697"/>
      <c r="H312" s="48" t="s">
        <v>1616</v>
      </c>
      <c r="I312" s="32">
        <f t="shared" si="570"/>
        <v>36625</v>
      </c>
      <c r="J312" s="33">
        <f t="shared" si="562"/>
        <v>19</v>
      </c>
      <c r="K312" s="195">
        <f>(36625*19%)+36625</f>
        <v>43583.75</v>
      </c>
      <c r="L312" s="85">
        <f>IF(I312="","",(K312)*$G$311)</f>
        <v>43583.75</v>
      </c>
      <c r="M312" s="705"/>
      <c r="N312" s="707"/>
      <c r="O312" s="707"/>
      <c r="P312" s="25">
        <f t="shared" si="566"/>
        <v>43583.75</v>
      </c>
      <c r="Q312" s="544"/>
      <c r="R312" s="542"/>
      <c r="S312" s="545"/>
      <c r="T312" s="711"/>
      <c r="U312" s="540">
        <f t="shared" si="531"/>
        <v>0</v>
      </c>
      <c r="V312" s="712"/>
      <c r="W312" s="192" t="s">
        <v>1617</v>
      </c>
    </row>
    <row r="313" spans="1:23" ht="40.5" customHeight="1" x14ac:dyDescent="0.3">
      <c r="A313" s="496">
        <v>155</v>
      </c>
      <c r="B313" s="697">
        <v>44121618</v>
      </c>
      <c r="C313" s="699" t="s">
        <v>1618</v>
      </c>
      <c r="D313" s="701" t="s">
        <v>1619</v>
      </c>
      <c r="E313" s="669" t="s">
        <v>79</v>
      </c>
      <c r="F313" s="704" t="s">
        <v>79</v>
      </c>
      <c r="G313" s="697">
        <v>1</v>
      </c>
      <c r="H313" s="55" t="s">
        <v>820</v>
      </c>
      <c r="I313" s="32">
        <f t="shared" si="570"/>
        <v>6262.5210084033615</v>
      </c>
      <c r="J313" s="33">
        <f t="shared" si="562"/>
        <v>18.999999999999993</v>
      </c>
      <c r="K313" s="195">
        <v>7452.4</v>
      </c>
      <c r="L313" s="85">
        <f>IF(I313="","",(K313)*$G$313)</f>
        <v>7452.4</v>
      </c>
      <c r="M313" s="705">
        <f t="shared" ref="M313" si="720">IFERROR(AVERAGE(L313:L314),"")</f>
        <v>10304.200000000001</v>
      </c>
      <c r="N313" s="707">
        <f t="shared" ref="N313" si="721">IFERROR(HARMEAN(L313:L314),"")</f>
        <v>9514.9331728809611</v>
      </c>
      <c r="O313" s="707">
        <f t="shared" ref="O313" si="722">IFERROR(MEDIAN(L313:L314),"")</f>
        <v>10304.200000000001</v>
      </c>
      <c r="P313" s="25">
        <f t="shared" si="566"/>
        <v>7452.4</v>
      </c>
      <c r="Q313" s="544">
        <f t="shared" ref="Q313" si="723">IFERROR(SUM(P313:P314)/COUNTA(K313:K314),"")</f>
        <v>10304.200000000001</v>
      </c>
      <c r="R313" s="542">
        <f t="shared" ref="R313" si="724">IFERROR(_xlfn.STDEV.S(L313:L314),"")</f>
        <v>4033.0542371755873</v>
      </c>
      <c r="S313" s="545">
        <f t="shared" ref="S313" si="725">IFERROR(R313/M313,"")</f>
        <v>0.39139906418504949</v>
      </c>
      <c r="T313" s="539" t="s">
        <v>881</v>
      </c>
      <c r="U313" s="540">
        <f t="shared" ref="U313:U340" si="726">M313</f>
        <v>10304.200000000001</v>
      </c>
      <c r="V313" s="714" t="s">
        <v>882</v>
      </c>
      <c r="W313" s="190"/>
    </row>
    <row r="314" spans="1:23" ht="40.5" customHeight="1" x14ac:dyDescent="0.3">
      <c r="A314" s="496"/>
      <c r="B314" s="697"/>
      <c r="C314" s="699"/>
      <c r="D314" s="701"/>
      <c r="E314" s="669"/>
      <c r="F314" s="704"/>
      <c r="G314" s="697"/>
      <c r="H314" s="48" t="s">
        <v>874</v>
      </c>
      <c r="I314" s="32">
        <f t="shared" si="570"/>
        <v>11055.46218487395</v>
      </c>
      <c r="J314" s="33">
        <f t="shared" si="562"/>
        <v>18.999999999999996</v>
      </c>
      <c r="K314" s="195">
        <v>13156</v>
      </c>
      <c r="L314" s="85">
        <f>IF(I314="","",(K314)*$G$313)</f>
        <v>13156</v>
      </c>
      <c r="M314" s="705"/>
      <c r="N314" s="707"/>
      <c r="O314" s="707"/>
      <c r="P314" s="25">
        <f t="shared" si="566"/>
        <v>13156</v>
      </c>
      <c r="Q314" s="544"/>
      <c r="R314" s="542"/>
      <c r="S314" s="545"/>
      <c r="T314" s="539"/>
      <c r="U314" s="540">
        <f t="shared" si="726"/>
        <v>0</v>
      </c>
      <c r="V314" s="715"/>
      <c r="W314" s="190"/>
    </row>
    <row r="315" spans="1:23" ht="40.5" customHeight="1" x14ac:dyDescent="0.3">
      <c r="A315" s="496">
        <v>156</v>
      </c>
      <c r="B315" s="697">
        <v>44103103</v>
      </c>
      <c r="C315" s="699" t="s">
        <v>1620</v>
      </c>
      <c r="D315" s="701" t="s">
        <v>1621</v>
      </c>
      <c r="E315" s="713" t="s">
        <v>79</v>
      </c>
      <c r="F315" s="704" t="s">
        <v>1622</v>
      </c>
      <c r="G315" s="697">
        <v>1</v>
      </c>
      <c r="H315" s="55" t="s">
        <v>1623</v>
      </c>
      <c r="I315" s="32">
        <f t="shared" si="570"/>
        <v>52000</v>
      </c>
      <c r="J315" s="33">
        <f t="shared" si="562"/>
        <v>19</v>
      </c>
      <c r="K315" s="195">
        <f>(52000*19%)+52000</f>
        <v>61880</v>
      </c>
      <c r="L315" s="85">
        <f>IF(I315="","",(K315)*$G$315)</f>
        <v>61880</v>
      </c>
      <c r="M315" s="705">
        <f t="shared" ref="M315" si="727">IFERROR(AVERAGE(L315:L316),"")</f>
        <v>89845</v>
      </c>
      <c r="N315" s="707">
        <f t="shared" ref="N315" si="728">IFERROR(HARMEAN(L315:L316),"")</f>
        <v>81140.662251655624</v>
      </c>
      <c r="O315" s="707">
        <f t="shared" ref="O315" si="729">IFERROR(MEDIAN(L315:L316),"")</f>
        <v>89845</v>
      </c>
      <c r="P315" s="25">
        <f t="shared" si="566"/>
        <v>61880</v>
      </c>
      <c r="Q315" s="544">
        <f t="shared" ref="Q315" si="730">IFERROR(SUM(P315:P316)/COUNTA(K315:K316),"")</f>
        <v>89845</v>
      </c>
      <c r="R315" s="542">
        <f t="shared" ref="R315" si="731">IFERROR(_xlfn.STDEV.S(L315:L316),"")</f>
        <v>39548.482271763605</v>
      </c>
      <c r="S315" s="545">
        <f t="shared" ref="S315" si="732">IFERROR(R315/M315,"")</f>
        <v>0.44018567835453953</v>
      </c>
      <c r="T315" s="692" t="s">
        <v>2076</v>
      </c>
      <c r="U315" s="540">
        <f t="shared" si="726"/>
        <v>89845</v>
      </c>
      <c r="V315" s="695" t="s">
        <v>1624</v>
      </c>
      <c r="W315" s="192" t="s">
        <v>1625</v>
      </c>
    </row>
    <row r="316" spans="1:23" ht="40.5" customHeight="1" x14ac:dyDescent="0.3">
      <c r="A316" s="496"/>
      <c r="B316" s="697"/>
      <c r="C316" s="699"/>
      <c r="D316" s="701"/>
      <c r="E316" s="713"/>
      <c r="F316" s="704"/>
      <c r="G316" s="697"/>
      <c r="H316" s="48" t="s">
        <v>1626</v>
      </c>
      <c r="I316" s="32">
        <f t="shared" si="570"/>
        <v>99000</v>
      </c>
      <c r="J316" s="33">
        <f t="shared" si="562"/>
        <v>19</v>
      </c>
      <c r="K316" s="195">
        <f>(99000*19%)+99000</f>
        <v>117810</v>
      </c>
      <c r="L316" s="85">
        <f>IF(I316="","",(K316)*$G$315)</f>
        <v>117810</v>
      </c>
      <c r="M316" s="705"/>
      <c r="N316" s="707"/>
      <c r="O316" s="707"/>
      <c r="P316" s="25">
        <f t="shared" si="566"/>
        <v>117810</v>
      </c>
      <c r="Q316" s="544"/>
      <c r="R316" s="542"/>
      <c r="S316" s="545"/>
      <c r="T316" s="711"/>
      <c r="U316" s="540">
        <f t="shared" si="726"/>
        <v>0</v>
      </c>
      <c r="V316" s="712"/>
      <c r="W316" s="192" t="s">
        <v>1627</v>
      </c>
    </row>
    <row r="317" spans="1:23" ht="40.5" customHeight="1" x14ac:dyDescent="0.3">
      <c r="A317" s="496">
        <v>157</v>
      </c>
      <c r="B317" s="697">
        <v>44103103</v>
      </c>
      <c r="C317" s="699" t="s">
        <v>1620</v>
      </c>
      <c r="D317" s="701" t="s">
        <v>1628</v>
      </c>
      <c r="E317" s="713" t="s">
        <v>79</v>
      </c>
      <c r="F317" s="704" t="s">
        <v>1629</v>
      </c>
      <c r="G317" s="697">
        <v>1</v>
      </c>
      <c r="H317" s="55" t="s">
        <v>1623</v>
      </c>
      <c r="I317" s="32">
        <f t="shared" si="570"/>
        <v>52000</v>
      </c>
      <c r="J317" s="33">
        <f t="shared" si="562"/>
        <v>19</v>
      </c>
      <c r="K317" s="195">
        <f>(52000*19%)+52000</f>
        <v>61880</v>
      </c>
      <c r="L317" s="85">
        <f>IF(I317="","",(K317)*$G$317)</f>
        <v>61880</v>
      </c>
      <c r="M317" s="705">
        <f t="shared" ref="M317" si="733">IFERROR(AVERAGE(L317:L318),"")</f>
        <v>89845</v>
      </c>
      <c r="N317" s="707">
        <f t="shared" ref="N317" si="734">IFERROR(HARMEAN(L317:L318),"")</f>
        <v>81140.662251655624</v>
      </c>
      <c r="O317" s="707">
        <f t="shared" ref="O317" si="735">IFERROR(MEDIAN(L317:L318),"")</f>
        <v>89845</v>
      </c>
      <c r="P317" s="25">
        <f t="shared" si="566"/>
        <v>61880</v>
      </c>
      <c r="Q317" s="544">
        <f t="shared" ref="Q317" si="736">IFERROR(SUM(P317:P318)/COUNTA(K317:K318),"")</f>
        <v>89845</v>
      </c>
      <c r="R317" s="542">
        <f t="shared" ref="R317" si="737">IFERROR(_xlfn.STDEV.S(L317:L318),"")</f>
        <v>39548.482271763605</v>
      </c>
      <c r="S317" s="545">
        <f t="shared" ref="S317" si="738">IFERROR(R317/M317,"")</f>
        <v>0.44018567835453953</v>
      </c>
      <c r="T317" s="692" t="s">
        <v>2076</v>
      </c>
      <c r="U317" s="540">
        <f t="shared" si="726"/>
        <v>89845</v>
      </c>
      <c r="V317" s="695" t="s">
        <v>1630</v>
      </c>
      <c r="W317" s="192" t="s">
        <v>1625</v>
      </c>
    </row>
    <row r="318" spans="1:23" ht="40.5" customHeight="1" x14ac:dyDescent="0.3">
      <c r="A318" s="496"/>
      <c r="B318" s="697"/>
      <c r="C318" s="699"/>
      <c r="D318" s="701"/>
      <c r="E318" s="713"/>
      <c r="F318" s="704"/>
      <c r="G318" s="697"/>
      <c r="H318" s="48" t="s">
        <v>1626</v>
      </c>
      <c r="I318" s="32">
        <f t="shared" si="570"/>
        <v>99000</v>
      </c>
      <c r="J318" s="33">
        <f t="shared" si="562"/>
        <v>19</v>
      </c>
      <c r="K318" s="195">
        <f>(99000*19%)+99000</f>
        <v>117810</v>
      </c>
      <c r="L318" s="85">
        <f>IF(I318="","",(K318)*$G$317)</f>
        <v>117810</v>
      </c>
      <c r="M318" s="705"/>
      <c r="N318" s="707"/>
      <c r="O318" s="707"/>
      <c r="P318" s="25">
        <f t="shared" si="566"/>
        <v>117810</v>
      </c>
      <c r="Q318" s="544"/>
      <c r="R318" s="542"/>
      <c r="S318" s="545"/>
      <c r="T318" s="711"/>
      <c r="U318" s="540">
        <f t="shared" si="726"/>
        <v>0</v>
      </c>
      <c r="V318" s="712"/>
      <c r="W318" s="192" t="s">
        <v>1631</v>
      </c>
    </row>
    <row r="319" spans="1:23" ht="40.5" customHeight="1" x14ac:dyDescent="0.3">
      <c r="A319" s="496">
        <v>158</v>
      </c>
      <c r="B319" s="697">
        <v>44121710</v>
      </c>
      <c r="C319" s="699" t="s">
        <v>1632</v>
      </c>
      <c r="D319" s="701" t="s">
        <v>1633</v>
      </c>
      <c r="E319" s="669" t="s">
        <v>141</v>
      </c>
      <c r="F319" s="704" t="s">
        <v>1389</v>
      </c>
      <c r="G319" s="697">
        <v>1</v>
      </c>
      <c r="H319" s="55" t="s">
        <v>722</v>
      </c>
      <c r="I319" s="32">
        <f t="shared" si="570"/>
        <v>22900</v>
      </c>
      <c r="J319" s="33">
        <f t="shared" si="562"/>
        <v>19</v>
      </c>
      <c r="K319" s="195">
        <f>(22900*19%)+22900</f>
        <v>27251</v>
      </c>
      <c r="L319" s="85">
        <f>IF(I319="","",(K319)*$G$319)</f>
        <v>27251</v>
      </c>
      <c r="M319" s="705">
        <f t="shared" ref="M319" si="739">IFERROR(AVERAGE(L319:L320),"")</f>
        <v>33617.5</v>
      </c>
      <c r="N319" s="707">
        <f t="shared" ref="N319" si="740">IFERROR(HARMEAN(L319:L320),"")</f>
        <v>32411.808849557525</v>
      </c>
      <c r="O319" s="707">
        <f t="shared" ref="O319" si="741">IFERROR(MEDIAN(L319:L320),"")</f>
        <v>33617.5</v>
      </c>
      <c r="P319" s="25">
        <f t="shared" si="566"/>
        <v>27251</v>
      </c>
      <c r="Q319" s="544">
        <f t="shared" ref="Q319" si="742">IFERROR(SUM(P319:P320)/COUNTA(K319:K320),"")</f>
        <v>33617.5</v>
      </c>
      <c r="R319" s="542">
        <f t="shared" ref="R319" si="743">IFERROR(_xlfn.STDEV.S(L319:L320),"")</f>
        <v>9003.5906448483092</v>
      </c>
      <c r="S319" s="545">
        <f t="shared" ref="S319" si="744">IFERROR(R319/M319,"")</f>
        <v>0.26782451535207286</v>
      </c>
      <c r="T319" s="692" t="s">
        <v>2076</v>
      </c>
      <c r="U319" s="540">
        <f t="shared" si="726"/>
        <v>33617.5</v>
      </c>
      <c r="V319" s="695" t="s">
        <v>1634</v>
      </c>
      <c r="W319" s="192" t="s">
        <v>1635</v>
      </c>
    </row>
    <row r="320" spans="1:23" ht="40.5" customHeight="1" x14ac:dyDescent="0.3">
      <c r="A320" s="496"/>
      <c r="B320" s="697"/>
      <c r="C320" s="699"/>
      <c r="D320" s="701"/>
      <c r="E320" s="669"/>
      <c r="F320" s="704"/>
      <c r="G320" s="697"/>
      <c r="H320" s="48" t="s">
        <v>1636</v>
      </c>
      <c r="I320" s="32">
        <f t="shared" si="570"/>
        <v>33600</v>
      </c>
      <c r="J320" s="33">
        <f t="shared" si="562"/>
        <v>19</v>
      </c>
      <c r="K320" s="195">
        <f>(33600*19%)+33600</f>
        <v>39984</v>
      </c>
      <c r="L320" s="85">
        <f>IF(I320="","",(K320)*$G$319)</f>
        <v>39984</v>
      </c>
      <c r="M320" s="705"/>
      <c r="N320" s="707"/>
      <c r="O320" s="707"/>
      <c r="P320" s="25">
        <f t="shared" si="566"/>
        <v>39984</v>
      </c>
      <c r="Q320" s="544"/>
      <c r="R320" s="542"/>
      <c r="S320" s="545"/>
      <c r="T320" s="711"/>
      <c r="U320" s="540">
        <f t="shared" si="726"/>
        <v>0</v>
      </c>
      <c r="V320" s="712"/>
      <c r="W320" s="192" t="s">
        <v>1637</v>
      </c>
    </row>
    <row r="321" spans="1:23" ht="40.5" customHeight="1" x14ac:dyDescent="0.25">
      <c r="A321" s="496">
        <v>159</v>
      </c>
      <c r="B321" s="697">
        <v>31201608</v>
      </c>
      <c r="C321" s="699" t="s">
        <v>1638</v>
      </c>
      <c r="D321" s="701" t="s">
        <v>1639</v>
      </c>
      <c r="E321" s="713" t="s">
        <v>72</v>
      </c>
      <c r="F321" s="704" t="s">
        <v>1447</v>
      </c>
      <c r="G321" s="697">
        <v>1</v>
      </c>
      <c r="H321" s="55" t="s">
        <v>820</v>
      </c>
      <c r="I321" s="32">
        <f t="shared" si="570"/>
        <v>78833.445378151271</v>
      </c>
      <c r="J321" s="33">
        <f t="shared" si="562"/>
        <v>18.999999999999986</v>
      </c>
      <c r="K321" s="195">
        <v>93811.8</v>
      </c>
      <c r="L321" s="85">
        <f>IF(I321="","",(K321)*$G$321)</f>
        <v>93811.8</v>
      </c>
      <c r="M321" s="705">
        <f t="shared" ref="M321" si="745">IFERROR(AVERAGE(L321:L322),"")</f>
        <v>94505.9</v>
      </c>
      <c r="N321" s="707">
        <f t="shared" ref="N321" si="746">IFERROR(HARMEAN(L321:L322),"")</f>
        <v>94500.80217213952</v>
      </c>
      <c r="O321" s="707">
        <f t="shared" ref="O321" si="747">IFERROR(MEDIAN(L321:L322),"")</f>
        <v>94505.9</v>
      </c>
      <c r="P321" s="25">
        <f t="shared" si="566"/>
        <v>93811.8</v>
      </c>
      <c r="Q321" s="544">
        <f t="shared" ref="Q321" si="748">IFERROR(SUM(P321:P322)/COUNTA(K321:K322),"")</f>
        <v>94505.9</v>
      </c>
      <c r="R321" s="542">
        <f t="shared" ref="R321" si="749">IFERROR(_xlfn.STDEV.S(L321:L322),"")</f>
        <v>981.60563364316317</v>
      </c>
      <c r="S321" s="545">
        <f t="shared" ref="S321" si="750">IFERROR(R321/M321,"")</f>
        <v>1.0386712719980056E-2</v>
      </c>
      <c r="T321" s="539" t="s">
        <v>2075</v>
      </c>
      <c r="U321" s="540">
        <f t="shared" si="726"/>
        <v>94505.9</v>
      </c>
      <c r="V321" s="695" t="s">
        <v>1640</v>
      </c>
      <c r="W321" s="189" t="s">
        <v>822</v>
      </c>
    </row>
    <row r="322" spans="1:23" ht="40.5" customHeight="1" x14ac:dyDescent="0.3">
      <c r="A322" s="496"/>
      <c r="B322" s="697"/>
      <c r="C322" s="699"/>
      <c r="D322" s="701"/>
      <c r="E322" s="713"/>
      <c r="F322" s="704"/>
      <c r="G322" s="697"/>
      <c r="H322" s="48" t="s">
        <v>1641</v>
      </c>
      <c r="I322" s="32">
        <f t="shared" si="570"/>
        <v>80000</v>
      </c>
      <c r="J322" s="33">
        <f t="shared" si="562"/>
        <v>19</v>
      </c>
      <c r="K322" s="195">
        <f>(80000*19%)+80000</f>
        <v>95200</v>
      </c>
      <c r="L322" s="85">
        <f>IF(I322="","",(K322)*$G$321)</f>
        <v>95200</v>
      </c>
      <c r="M322" s="705"/>
      <c r="N322" s="707"/>
      <c r="O322" s="707"/>
      <c r="P322" s="25">
        <f t="shared" si="566"/>
        <v>95200</v>
      </c>
      <c r="Q322" s="544"/>
      <c r="R322" s="542"/>
      <c r="S322" s="545"/>
      <c r="T322" s="539"/>
      <c r="U322" s="540">
        <f t="shared" si="726"/>
        <v>0</v>
      </c>
      <c r="V322" s="712"/>
      <c r="W322" s="192" t="s">
        <v>1642</v>
      </c>
    </row>
    <row r="323" spans="1:23" ht="40.5" customHeight="1" x14ac:dyDescent="0.25">
      <c r="A323" s="496">
        <v>160</v>
      </c>
      <c r="B323" s="697">
        <v>31201608</v>
      </c>
      <c r="C323" s="699" t="s">
        <v>1643</v>
      </c>
      <c r="D323" s="701" t="s">
        <v>1644</v>
      </c>
      <c r="E323" s="713" t="s">
        <v>72</v>
      </c>
      <c r="F323" s="704" t="s">
        <v>43</v>
      </c>
      <c r="G323" s="697">
        <v>1</v>
      </c>
      <c r="H323" s="55" t="s">
        <v>820</v>
      </c>
      <c r="I323" s="32">
        <f t="shared" si="570"/>
        <v>41381.176470588238</v>
      </c>
      <c r="J323" s="33">
        <f t="shared" si="562"/>
        <v>18.999999999999989</v>
      </c>
      <c r="K323" s="195">
        <v>49243.6</v>
      </c>
      <c r="L323" s="85">
        <f>IF(I323="","",(K323)*$G$323)</f>
        <v>49243.6</v>
      </c>
      <c r="M323" s="705">
        <f t="shared" ref="M323" si="751">IFERROR(AVERAGE(L323:L324),"")</f>
        <v>42471.8</v>
      </c>
      <c r="N323" s="707">
        <f t="shared" ref="N323" si="752">IFERROR(HARMEAN(L323:L324),"")</f>
        <v>41392.088868378545</v>
      </c>
      <c r="O323" s="707">
        <f t="shared" ref="O323" si="753">IFERROR(MEDIAN(L323:L324),"")</f>
        <v>42471.8</v>
      </c>
      <c r="P323" s="25">
        <f t="shared" si="566"/>
        <v>49243.6</v>
      </c>
      <c r="Q323" s="544">
        <f t="shared" ref="Q323" si="754">IFERROR(SUM(P323:P324)/COUNTA(K323:K324),"")</f>
        <v>42471.8</v>
      </c>
      <c r="R323" s="542">
        <f t="shared" ref="R323" si="755">IFERROR(_xlfn.STDEV.S(L323:L324),"")</f>
        <v>9576.771401678101</v>
      </c>
      <c r="S323" s="545">
        <f t="shared" ref="S323" si="756">IFERROR(R323/M323,"")</f>
        <v>0.22548541389058388</v>
      </c>
      <c r="T323" s="539" t="s">
        <v>2075</v>
      </c>
      <c r="U323" s="540">
        <f t="shared" si="726"/>
        <v>42471.8</v>
      </c>
      <c r="V323" s="695" t="s">
        <v>1645</v>
      </c>
      <c r="W323" s="189" t="s">
        <v>822</v>
      </c>
    </row>
    <row r="324" spans="1:23" ht="40.5" customHeight="1" x14ac:dyDescent="0.3">
      <c r="A324" s="496"/>
      <c r="B324" s="697"/>
      <c r="C324" s="699"/>
      <c r="D324" s="701"/>
      <c r="E324" s="713"/>
      <c r="F324" s="704"/>
      <c r="G324" s="697"/>
      <c r="H324" s="48" t="s">
        <v>722</v>
      </c>
      <c r="I324" s="32">
        <f t="shared" si="570"/>
        <v>30000</v>
      </c>
      <c r="J324" s="33">
        <f t="shared" si="562"/>
        <v>19</v>
      </c>
      <c r="K324" s="195">
        <f>(30000 *19%)+30000</f>
        <v>35700</v>
      </c>
      <c r="L324" s="85">
        <f>IF(I324="","",(K324)*$G$323)</f>
        <v>35700</v>
      </c>
      <c r="M324" s="705"/>
      <c r="N324" s="707"/>
      <c r="O324" s="707"/>
      <c r="P324" s="25">
        <f t="shared" si="566"/>
        <v>35700</v>
      </c>
      <c r="Q324" s="544"/>
      <c r="R324" s="542"/>
      <c r="S324" s="545"/>
      <c r="T324" s="539"/>
      <c r="U324" s="540">
        <f t="shared" si="726"/>
        <v>0</v>
      </c>
      <c r="V324" s="712"/>
      <c r="W324" s="192" t="s">
        <v>1646</v>
      </c>
    </row>
    <row r="325" spans="1:23" ht="40.5" customHeight="1" x14ac:dyDescent="0.3">
      <c r="A325" s="496">
        <v>161</v>
      </c>
      <c r="B325" s="697">
        <v>48102109</v>
      </c>
      <c r="C325" s="699" t="s">
        <v>1647</v>
      </c>
      <c r="D325" s="701" t="s">
        <v>1648</v>
      </c>
      <c r="E325" s="713" t="s">
        <v>72</v>
      </c>
      <c r="F325" s="704" t="s">
        <v>1436</v>
      </c>
      <c r="G325" s="697">
        <v>1</v>
      </c>
      <c r="H325" s="55" t="s">
        <v>874</v>
      </c>
      <c r="I325" s="32">
        <f t="shared" si="570"/>
        <v>32586.55462184874</v>
      </c>
      <c r="J325" s="33">
        <f t="shared" ref="J325:J340" si="757">IF(K325="","",(K325-(K325/1.19))/(K325/1.19)*100)</f>
        <v>19</v>
      </c>
      <c r="K325" s="195">
        <v>38778</v>
      </c>
      <c r="L325" s="85">
        <f>IF(I325="","",(K325)*$G$325)</f>
        <v>38778</v>
      </c>
      <c r="M325" s="705">
        <f t="shared" ref="M325" si="758">IFERROR(AVERAGE(L325:L326),"")</f>
        <v>41894.28</v>
      </c>
      <c r="N325" s="707">
        <f t="shared" ref="N325" si="759">IFERROR(HARMEAN(L325:L326),"")</f>
        <v>41662.477447517893</v>
      </c>
      <c r="O325" s="707">
        <f t="shared" ref="O325" si="760">IFERROR(MEDIAN(L325:L326),"")</f>
        <v>41894.28</v>
      </c>
      <c r="P325" s="25">
        <f t="shared" ref="P325:P340" si="761">IF(L325="","",L325)</f>
        <v>38778</v>
      </c>
      <c r="Q325" s="544">
        <f t="shared" ref="Q325" si="762">IFERROR(SUM(P325:P326)/COUNTA(K325:K326),"")</f>
        <v>41894.28</v>
      </c>
      <c r="R325" s="542">
        <f t="shared" ref="R325" si="763">IFERROR(_xlfn.STDEV.S(L325:L326),"")</f>
        <v>4407.0854401520273</v>
      </c>
      <c r="S325" s="545">
        <f t="shared" ref="S325" si="764">IFERROR(R325/M325,"")</f>
        <v>0.10519539756148161</v>
      </c>
      <c r="T325" s="539" t="s">
        <v>2075</v>
      </c>
      <c r="U325" s="540">
        <f t="shared" si="726"/>
        <v>41894.28</v>
      </c>
      <c r="V325" s="695" t="s">
        <v>1649</v>
      </c>
      <c r="W325" s="190" t="s">
        <v>1426</v>
      </c>
    </row>
    <row r="326" spans="1:23" ht="40.5" customHeight="1" x14ac:dyDescent="0.3">
      <c r="A326" s="496"/>
      <c r="B326" s="697"/>
      <c r="C326" s="699"/>
      <c r="D326" s="701"/>
      <c r="E326" s="713"/>
      <c r="F326" s="704"/>
      <c r="G326" s="697"/>
      <c r="H326" s="48" t="s">
        <v>1650</v>
      </c>
      <c r="I326" s="32">
        <f t="shared" ref="I326:I340" si="765">IFERROR(K326/((100+J326)/100),"")</f>
        <v>37824</v>
      </c>
      <c r="J326" s="33">
        <f t="shared" si="757"/>
        <v>18.999999999999993</v>
      </c>
      <c r="K326" s="195">
        <f>(37824*19%)+37824</f>
        <v>45010.559999999998</v>
      </c>
      <c r="L326" s="85">
        <f>IF(I326="","",(K326)*$G$325)</f>
        <v>45010.559999999998</v>
      </c>
      <c r="M326" s="705"/>
      <c r="N326" s="707"/>
      <c r="O326" s="707"/>
      <c r="P326" s="25">
        <f t="shared" si="761"/>
        <v>45010.559999999998</v>
      </c>
      <c r="Q326" s="544"/>
      <c r="R326" s="542"/>
      <c r="S326" s="545"/>
      <c r="T326" s="539"/>
      <c r="U326" s="540">
        <f t="shared" si="726"/>
        <v>0</v>
      </c>
      <c r="V326" s="712"/>
      <c r="W326" s="192" t="s">
        <v>1651</v>
      </c>
    </row>
    <row r="327" spans="1:23" ht="40.5" customHeight="1" x14ac:dyDescent="0.3">
      <c r="A327" s="496">
        <v>162</v>
      </c>
      <c r="B327" s="697">
        <v>60141014</v>
      </c>
      <c r="C327" s="699" t="s">
        <v>1652</v>
      </c>
      <c r="D327" s="701" t="s">
        <v>1653</v>
      </c>
      <c r="E327" s="669" t="s">
        <v>79</v>
      </c>
      <c r="F327" s="704" t="s">
        <v>79</v>
      </c>
      <c r="G327" s="697">
        <v>1</v>
      </c>
      <c r="H327" s="55" t="s">
        <v>874</v>
      </c>
      <c r="I327" s="32">
        <f t="shared" si="765"/>
        <v>1450.420168067227</v>
      </c>
      <c r="J327" s="33">
        <f t="shared" si="757"/>
        <v>18.999999999999993</v>
      </c>
      <c r="K327" s="195">
        <v>1726</v>
      </c>
      <c r="L327" s="85">
        <f>IF(I327="","",(K327)*$G$327)</f>
        <v>1726</v>
      </c>
      <c r="M327" s="705">
        <f t="shared" ref="M327" si="766">IFERROR(AVERAGE(L327:L328),"")</f>
        <v>1704.33</v>
      </c>
      <c r="N327" s="707">
        <f t="shared" ref="N327" si="767">IFERROR(HARMEAN(L327:L328),"")</f>
        <v>1704.0544730187228</v>
      </c>
      <c r="O327" s="707">
        <f t="shared" ref="O327" si="768">IFERROR(MEDIAN(L327:L328),"")</f>
        <v>1704.33</v>
      </c>
      <c r="P327" s="25">
        <f t="shared" si="761"/>
        <v>1726</v>
      </c>
      <c r="Q327" s="544">
        <f t="shared" ref="Q327" si="769">IFERROR(SUM(P327:P328)/COUNTA(K327:K328),"")</f>
        <v>1704.33</v>
      </c>
      <c r="R327" s="542">
        <f t="shared" ref="R327" si="770">IFERROR(_xlfn.STDEV.S(L327:L328),"")</f>
        <v>30.646007896624912</v>
      </c>
      <c r="S327" s="545">
        <f t="shared" ref="S327" si="771">IFERROR(R327/M327,"")</f>
        <v>1.7981264131139457E-2</v>
      </c>
      <c r="T327" s="539" t="s">
        <v>2075</v>
      </c>
      <c r="U327" s="540">
        <f t="shared" si="726"/>
        <v>1704.33</v>
      </c>
      <c r="V327" s="695" t="s">
        <v>1654</v>
      </c>
      <c r="W327" s="190" t="s">
        <v>1426</v>
      </c>
    </row>
    <row r="328" spans="1:23" ht="40.5" customHeight="1" x14ac:dyDescent="0.3">
      <c r="A328" s="496"/>
      <c r="B328" s="697"/>
      <c r="C328" s="699"/>
      <c r="D328" s="701"/>
      <c r="E328" s="669"/>
      <c r="F328" s="704"/>
      <c r="G328" s="697"/>
      <c r="H328" s="48" t="s">
        <v>867</v>
      </c>
      <c r="I328" s="32">
        <f t="shared" si="765"/>
        <v>1414.0000000000002</v>
      </c>
      <c r="J328" s="33">
        <f t="shared" si="757"/>
        <v>18.999999999999986</v>
      </c>
      <c r="K328" s="195">
        <f>(1414*19%)+1414</f>
        <v>1682.66</v>
      </c>
      <c r="L328" s="85">
        <f>IF(I328="","",(K328)*$G$327)</f>
        <v>1682.66</v>
      </c>
      <c r="M328" s="705"/>
      <c r="N328" s="707"/>
      <c r="O328" s="707"/>
      <c r="P328" s="25">
        <f t="shared" si="761"/>
        <v>1682.66</v>
      </c>
      <c r="Q328" s="544"/>
      <c r="R328" s="542"/>
      <c r="S328" s="545"/>
      <c r="T328" s="539"/>
      <c r="U328" s="540">
        <f t="shared" si="726"/>
        <v>0</v>
      </c>
      <c r="V328" s="712"/>
      <c r="W328" s="192" t="s">
        <v>1655</v>
      </c>
    </row>
    <row r="329" spans="1:23" ht="40.5" customHeight="1" x14ac:dyDescent="0.3">
      <c r="A329" s="496">
        <v>163</v>
      </c>
      <c r="B329" s="697">
        <v>43211708</v>
      </c>
      <c r="C329" s="699" t="s">
        <v>1656</v>
      </c>
      <c r="D329" s="701" t="s">
        <v>1657</v>
      </c>
      <c r="E329" s="669" t="s">
        <v>570</v>
      </c>
      <c r="F329" s="704" t="s">
        <v>79</v>
      </c>
      <c r="G329" s="697">
        <v>1</v>
      </c>
      <c r="H329" s="55" t="s">
        <v>1658</v>
      </c>
      <c r="I329" s="32">
        <f t="shared" si="765"/>
        <v>7990.0000000000009</v>
      </c>
      <c r="J329" s="33">
        <f t="shared" si="757"/>
        <v>18.999999999999993</v>
      </c>
      <c r="K329" s="195">
        <f>(7990*19%)+7990</f>
        <v>9508.1</v>
      </c>
      <c r="L329" s="85">
        <f>IF(I329="","",(K329)*$G$329)</f>
        <v>9508.1</v>
      </c>
      <c r="M329" s="705">
        <f t="shared" ref="M329" si="772">IFERROR(AVERAGE(L329:L330),"")</f>
        <v>10644.55</v>
      </c>
      <c r="N329" s="707">
        <f t="shared" ref="N329" si="773">IFERROR(HARMEAN(L329:L330),"")</f>
        <v>10523.21855785355</v>
      </c>
      <c r="O329" s="707">
        <f t="shared" ref="O329" si="774">IFERROR(MEDIAN(L329:L330),"")</f>
        <v>10644.55</v>
      </c>
      <c r="P329" s="25">
        <f t="shared" si="761"/>
        <v>9508.1</v>
      </c>
      <c r="Q329" s="544">
        <f t="shared" ref="Q329" si="775">IFERROR(SUM(P329:P330)/COUNTA(K329:K330),"")</f>
        <v>10644.55</v>
      </c>
      <c r="R329" s="542">
        <f t="shared" ref="R329" si="776">IFERROR(_xlfn.STDEV.S(L329:L330),"")</f>
        <v>1607.1830029589173</v>
      </c>
      <c r="S329" s="545">
        <f t="shared" ref="S329" si="777">IFERROR(R329/M329,"")</f>
        <v>0.15098646753117018</v>
      </c>
      <c r="T329" s="692" t="s">
        <v>2076</v>
      </c>
      <c r="U329" s="540">
        <f t="shared" si="726"/>
        <v>10644.55</v>
      </c>
      <c r="V329" s="695" t="s">
        <v>1659</v>
      </c>
      <c r="W329" s="192" t="s">
        <v>1660</v>
      </c>
    </row>
    <row r="330" spans="1:23" ht="40.5" customHeight="1" x14ac:dyDescent="0.3">
      <c r="A330" s="496"/>
      <c r="B330" s="697"/>
      <c r="C330" s="699"/>
      <c r="D330" s="701"/>
      <c r="E330" s="669"/>
      <c r="F330" s="704"/>
      <c r="G330" s="697"/>
      <c r="H330" s="48" t="s">
        <v>1122</v>
      </c>
      <c r="I330" s="32">
        <f t="shared" si="765"/>
        <v>9900</v>
      </c>
      <c r="J330" s="33">
        <f t="shared" si="757"/>
        <v>19</v>
      </c>
      <c r="K330" s="195">
        <f>(9900*19%)+9900</f>
        <v>11781</v>
      </c>
      <c r="L330" s="85">
        <f t="shared" ref="L330" si="778">IF(I330="","",(K330)*$G$329)</f>
        <v>11781</v>
      </c>
      <c r="M330" s="705"/>
      <c r="N330" s="707"/>
      <c r="O330" s="707"/>
      <c r="P330" s="25">
        <f t="shared" si="761"/>
        <v>11781</v>
      </c>
      <c r="Q330" s="544"/>
      <c r="R330" s="542"/>
      <c r="S330" s="545"/>
      <c r="T330" s="711"/>
      <c r="U330" s="540">
        <f t="shared" si="726"/>
        <v>0</v>
      </c>
      <c r="V330" s="712"/>
      <c r="W330" s="192" t="s">
        <v>1661</v>
      </c>
    </row>
    <row r="331" spans="1:23" ht="40.5" customHeight="1" x14ac:dyDescent="0.3">
      <c r="A331" s="496">
        <v>164</v>
      </c>
      <c r="B331" s="697">
        <v>39121031</v>
      </c>
      <c r="C331" s="699" t="s">
        <v>1662</v>
      </c>
      <c r="D331" s="701" t="s">
        <v>1663</v>
      </c>
      <c r="E331" s="669" t="s">
        <v>570</v>
      </c>
      <c r="F331" s="704" t="s">
        <v>79</v>
      </c>
      <c r="G331" s="697">
        <v>1</v>
      </c>
      <c r="H331" s="55" t="s">
        <v>722</v>
      </c>
      <c r="I331" s="32">
        <f t="shared" si="765"/>
        <v>19161</v>
      </c>
      <c r="J331" s="33">
        <f t="shared" si="757"/>
        <v>19</v>
      </c>
      <c r="K331" s="195">
        <f>(19161*19%)+19161</f>
        <v>22801.59</v>
      </c>
      <c r="L331" s="85">
        <f>IF(I331="","",(K331)*$G$331)</f>
        <v>22801.59</v>
      </c>
      <c r="M331" s="705">
        <f t="shared" ref="M331" si="779">IFERROR(AVERAGE(L331:L332),"")</f>
        <v>22139.95</v>
      </c>
      <c r="N331" s="707">
        <f t="shared" ref="N331" si="780">IFERROR(HARMEAN(L331:L332),"")</f>
        <v>22120.177259338889</v>
      </c>
      <c r="O331" s="707">
        <f t="shared" ref="O331" si="781">IFERROR(MEDIAN(L331:L332),"")</f>
        <v>22139.95</v>
      </c>
      <c r="P331" s="25">
        <f t="shared" si="761"/>
        <v>22801.59</v>
      </c>
      <c r="Q331" s="544">
        <f t="shared" ref="Q331" si="782">IFERROR(SUM(P331:P332)/COUNTA(K331:K332),"")</f>
        <v>22139.95</v>
      </c>
      <c r="R331" s="542">
        <f t="shared" ref="R331" si="783">IFERROR(_xlfn.STDEV.S(L331:L332),"")</f>
        <v>935.70026140853372</v>
      </c>
      <c r="S331" s="545">
        <f t="shared" ref="S331" si="784">IFERROR(R331/M331,"")</f>
        <v>4.2262979880647145E-2</v>
      </c>
      <c r="T331" s="692" t="s">
        <v>2076</v>
      </c>
      <c r="U331" s="540">
        <f t="shared" si="726"/>
        <v>22139.95</v>
      </c>
      <c r="V331" s="695" t="s">
        <v>1664</v>
      </c>
      <c r="W331" s="192" t="s">
        <v>1665</v>
      </c>
    </row>
    <row r="332" spans="1:23" ht="40.5" customHeight="1" x14ac:dyDescent="0.3">
      <c r="A332" s="496"/>
      <c r="B332" s="697"/>
      <c r="C332" s="699"/>
      <c r="D332" s="701"/>
      <c r="E332" s="669"/>
      <c r="F332" s="704"/>
      <c r="G332" s="697"/>
      <c r="H332" s="48" t="s">
        <v>1666</v>
      </c>
      <c r="I332" s="32">
        <f t="shared" si="765"/>
        <v>18049.000000000004</v>
      </c>
      <c r="J332" s="33">
        <f t="shared" si="757"/>
        <v>18.999999999999982</v>
      </c>
      <c r="K332" s="195">
        <f>(18049*19%)+18049</f>
        <v>21478.31</v>
      </c>
      <c r="L332" s="85">
        <f>IF(I332="","",(K332)*$G$331)</f>
        <v>21478.31</v>
      </c>
      <c r="M332" s="705"/>
      <c r="N332" s="707"/>
      <c r="O332" s="707"/>
      <c r="P332" s="25">
        <f t="shared" si="761"/>
        <v>21478.31</v>
      </c>
      <c r="Q332" s="544"/>
      <c r="R332" s="542"/>
      <c r="S332" s="545"/>
      <c r="T332" s="711"/>
      <c r="U332" s="540">
        <f t="shared" si="726"/>
        <v>0</v>
      </c>
      <c r="V332" s="712"/>
      <c r="W332" s="192" t="s">
        <v>1667</v>
      </c>
    </row>
    <row r="333" spans="1:23" ht="40.5" customHeight="1" x14ac:dyDescent="0.3">
      <c r="A333" s="496">
        <v>165</v>
      </c>
      <c r="B333" s="697">
        <v>41111613</v>
      </c>
      <c r="C333" s="699" t="s">
        <v>1668</v>
      </c>
      <c r="D333" s="701" t="s">
        <v>1669</v>
      </c>
      <c r="E333" s="669" t="s">
        <v>570</v>
      </c>
      <c r="F333" s="704" t="s">
        <v>79</v>
      </c>
      <c r="G333" s="697">
        <v>1</v>
      </c>
      <c r="H333" s="55" t="s">
        <v>1670</v>
      </c>
      <c r="I333" s="32">
        <f t="shared" si="765"/>
        <v>10350</v>
      </c>
      <c r="J333" s="33">
        <f t="shared" si="757"/>
        <v>19</v>
      </c>
      <c r="K333" s="195">
        <f>(10350*19%)+10350</f>
        <v>12316.5</v>
      </c>
      <c r="L333" s="85">
        <f>IF(I333="","",(K333)*$G$333)</f>
        <v>12316.5</v>
      </c>
      <c r="M333" s="705">
        <f t="shared" ref="M333" si="785">IFERROR(AVERAGE(L333:L334),"")</f>
        <v>23770.25</v>
      </c>
      <c r="N333" s="707">
        <f t="shared" ref="N333" si="786">IFERROR(HARMEAN(L333:L334),"")</f>
        <v>18251.234042553191</v>
      </c>
      <c r="O333" s="707">
        <f t="shared" ref="O333" si="787">IFERROR(MEDIAN(L333:L334),"")</f>
        <v>23770.25</v>
      </c>
      <c r="P333" s="25">
        <f t="shared" si="761"/>
        <v>12316.5</v>
      </c>
      <c r="Q333" s="544">
        <f t="shared" ref="Q333" si="788">IFERROR(SUM(P333:P334)/COUNTA(K333:K334),"")</f>
        <v>23770.25</v>
      </c>
      <c r="R333" s="542">
        <f t="shared" ref="R333:R335" si="789">IFERROR(_xlfn.STDEV.S(L333:L334),"")</f>
        <v>16198.048590030838</v>
      </c>
      <c r="S333" s="545">
        <f t="shared" ref="S333" si="790">IFERROR(R333/M333,"")</f>
        <v>0.68144207949141622</v>
      </c>
      <c r="T333" s="692" t="s">
        <v>2076</v>
      </c>
      <c r="U333" s="540">
        <f t="shared" si="726"/>
        <v>23770.25</v>
      </c>
      <c r="V333" s="695" t="s">
        <v>1671</v>
      </c>
      <c r="W333" s="192" t="s">
        <v>1672</v>
      </c>
    </row>
    <row r="334" spans="1:23" ht="40.5" customHeight="1" x14ac:dyDescent="0.3">
      <c r="A334" s="496"/>
      <c r="B334" s="697"/>
      <c r="C334" s="699"/>
      <c r="D334" s="701"/>
      <c r="E334" s="669"/>
      <c r="F334" s="704"/>
      <c r="G334" s="697"/>
      <c r="H334" s="48" t="s">
        <v>1673</v>
      </c>
      <c r="I334" s="32">
        <f t="shared" si="765"/>
        <v>29600</v>
      </c>
      <c r="J334" s="33">
        <f t="shared" si="757"/>
        <v>19</v>
      </c>
      <c r="K334" s="195">
        <f>(29600*19%)+29600</f>
        <v>35224</v>
      </c>
      <c r="L334" s="85">
        <f>IF(I334="","",(K334)*$G$333)</f>
        <v>35224</v>
      </c>
      <c r="M334" s="705"/>
      <c r="N334" s="707"/>
      <c r="O334" s="707"/>
      <c r="P334" s="25">
        <f t="shared" si="761"/>
        <v>35224</v>
      </c>
      <c r="Q334" s="544"/>
      <c r="R334" s="542"/>
      <c r="S334" s="545"/>
      <c r="T334" s="711"/>
      <c r="U334" s="540">
        <f t="shared" si="726"/>
        <v>0</v>
      </c>
      <c r="V334" s="712"/>
      <c r="W334" s="192" t="s">
        <v>1674</v>
      </c>
    </row>
    <row r="335" spans="1:23" ht="40.5" customHeight="1" x14ac:dyDescent="0.3">
      <c r="A335" s="496">
        <v>166</v>
      </c>
      <c r="B335" s="697">
        <v>54111503</v>
      </c>
      <c r="C335" s="699" t="s">
        <v>1675</v>
      </c>
      <c r="D335" s="701" t="s">
        <v>1676</v>
      </c>
      <c r="E335" s="669" t="s">
        <v>570</v>
      </c>
      <c r="F335" s="704" t="s">
        <v>79</v>
      </c>
      <c r="G335" s="697">
        <v>1</v>
      </c>
      <c r="H335" s="55" t="s">
        <v>1122</v>
      </c>
      <c r="I335" s="32">
        <f t="shared" si="765"/>
        <v>33900</v>
      </c>
      <c r="J335" s="33">
        <f t="shared" si="757"/>
        <v>19</v>
      </c>
      <c r="K335" s="195">
        <f>(33900*19%)+33900</f>
        <v>40341</v>
      </c>
      <c r="L335" s="85">
        <f>IF(I335="","",(K335)*$G$335)</f>
        <v>40341</v>
      </c>
      <c r="M335" s="705">
        <f t="shared" ref="M335" si="791">IFERROR(AVERAGE(L335:L336),"")</f>
        <v>40341</v>
      </c>
      <c r="N335" s="707">
        <f t="shared" ref="N335" si="792">IFERROR(HARMEAN(L335:L336),"")</f>
        <v>40341</v>
      </c>
      <c r="O335" s="707">
        <f t="shared" ref="O335" si="793">IFERROR(MEDIAN(L335:L336),"")</f>
        <v>40341</v>
      </c>
      <c r="P335" s="25">
        <f t="shared" si="761"/>
        <v>40341</v>
      </c>
      <c r="Q335" s="544">
        <f t="shared" ref="Q335" si="794">IFERROR(SUM(P335:P336)/COUNTA(K335:K336),"")</f>
        <v>40341</v>
      </c>
      <c r="R335" s="542">
        <f t="shared" si="789"/>
        <v>0</v>
      </c>
      <c r="S335" s="545">
        <f t="shared" ref="S335" si="795">IFERROR(R335/M335,"")</f>
        <v>0</v>
      </c>
      <c r="T335" s="692" t="s">
        <v>2076</v>
      </c>
      <c r="U335" s="540">
        <f t="shared" si="726"/>
        <v>40341</v>
      </c>
      <c r="V335" s="695" t="s">
        <v>1677</v>
      </c>
      <c r="W335" s="192" t="s">
        <v>1678</v>
      </c>
    </row>
    <row r="336" spans="1:23" ht="40.5" customHeight="1" x14ac:dyDescent="0.3">
      <c r="A336" s="496"/>
      <c r="B336" s="697"/>
      <c r="C336" s="699"/>
      <c r="D336" s="701"/>
      <c r="E336" s="669"/>
      <c r="F336" s="704"/>
      <c r="G336" s="697"/>
      <c r="H336" s="48" t="s">
        <v>1003</v>
      </c>
      <c r="I336" s="32">
        <f t="shared" si="765"/>
        <v>33900</v>
      </c>
      <c r="J336" s="33">
        <f t="shared" si="757"/>
        <v>19</v>
      </c>
      <c r="K336" s="195">
        <f>(33900*19%)+33900</f>
        <v>40341</v>
      </c>
      <c r="L336" s="85">
        <f>IF(I336="","",(K336)*$G$335)</f>
        <v>40341</v>
      </c>
      <c r="M336" s="705"/>
      <c r="N336" s="707"/>
      <c r="O336" s="707"/>
      <c r="P336" s="25">
        <f t="shared" si="761"/>
        <v>40341</v>
      </c>
      <c r="Q336" s="544"/>
      <c r="R336" s="542"/>
      <c r="S336" s="545"/>
      <c r="T336" s="711"/>
      <c r="U336" s="540">
        <f t="shared" si="726"/>
        <v>0</v>
      </c>
      <c r="V336" s="712"/>
      <c r="W336" s="192" t="s">
        <v>1679</v>
      </c>
    </row>
    <row r="337" spans="1:23" ht="40.5" customHeight="1" x14ac:dyDescent="0.3">
      <c r="A337" s="496">
        <v>167</v>
      </c>
      <c r="B337" s="697">
        <v>26111702</v>
      </c>
      <c r="C337" s="699" t="s">
        <v>1680</v>
      </c>
      <c r="D337" s="701" t="s">
        <v>1681</v>
      </c>
      <c r="E337" s="669" t="s">
        <v>1682</v>
      </c>
      <c r="F337" s="669" t="s">
        <v>1682</v>
      </c>
      <c r="G337" s="697">
        <v>1</v>
      </c>
      <c r="H337" s="55" t="s">
        <v>1122</v>
      </c>
      <c r="I337" s="32">
        <f t="shared" si="765"/>
        <v>19500</v>
      </c>
      <c r="J337" s="33">
        <f t="shared" si="757"/>
        <v>19</v>
      </c>
      <c r="K337" s="195">
        <f>(19500*19%)+19500</f>
        <v>23205</v>
      </c>
      <c r="L337" s="85">
        <f>IF(I337="","",(K337)*$G$337)</f>
        <v>23205</v>
      </c>
      <c r="M337" s="705">
        <f t="shared" ref="M337" si="796">IFERROR(AVERAGE(L337:L338),"")</f>
        <v>18088</v>
      </c>
      <c r="N337" s="707">
        <f t="shared" ref="N337" si="797">IFERROR(HARMEAN(L337:L338),"")</f>
        <v>16640.427631578947</v>
      </c>
      <c r="O337" s="707">
        <f t="shared" ref="O337" si="798">IFERROR(MEDIAN(L337:L338),"")</f>
        <v>18088</v>
      </c>
      <c r="P337" s="25">
        <f t="shared" si="761"/>
        <v>23205</v>
      </c>
      <c r="Q337" s="544">
        <f t="shared" ref="Q337" si="799">IFERROR(SUM(P337:P338)/COUNTA(K337:K338),"")</f>
        <v>18088</v>
      </c>
      <c r="R337" s="542">
        <f t="shared" ref="R337" si="800">IFERROR(_xlfn.STDEV.S(L337:L338),"")</f>
        <v>7236.5307986631269</v>
      </c>
      <c r="S337" s="545">
        <f t="shared" ref="S337" si="801">IFERROR(R337/M337,"")</f>
        <v>0.40007357356607293</v>
      </c>
      <c r="T337" s="692" t="s">
        <v>2076</v>
      </c>
      <c r="U337" s="540">
        <f t="shared" si="726"/>
        <v>18088</v>
      </c>
      <c r="V337" s="695" t="s">
        <v>1683</v>
      </c>
      <c r="W337" s="192" t="s">
        <v>1684</v>
      </c>
    </row>
    <row r="338" spans="1:23" ht="40.5" customHeight="1" x14ac:dyDescent="0.3">
      <c r="A338" s="496"/>
      <c r="B338" s="697"/>
      <c r="C338" s="699"/>
      <c r="D338" s="701"/>
      <c r="E338" s="669"/>
      <c r="F338" s="669"/>
      <c r="G338" s="697"/>
      <c r="H338" s="181" t="s">
        <v>722</v>
      </c>
      <c r="I338" s="182">
        <f t="shared" si="765"/>
        <v>10900</v>
      </c>
      <c r="J338" s="23">
        <f t="shared" si="757"/>
        <v>19</v>
      </c>
      <c r="K338" s="196">
        <f>(10900*19%)+10900</f>
        <v>12971</v>
      </c>
      <c r="L338" s="85">
        <f>IF(I338="","",(K338)*$G$337)</f>
        <v>12971</v>
      </c>
      <c r="M338" s="706"/>
      <c r="N338" s="708"/>
      <c r="O338" s="708"/>
      <c r="P338" s="183">
        <f t="shared" si="761"/>
        <v>12971</v>
      </c>
      <c r="Q338" s="709"/>
      <c r="R338" s="710"/>
      <c r="S338" s="691"/>
      <c r="T338" s="693"/>
      <c r="U338" s="694">
        <f t="shared" si="726"/>
        <v>0</v>
      </c>
      <c r="V338" s="696"/>
      <c r="W338" s="192" t="s">
        <v>1685</v>
      </c>
    </row>
    <row r="339" spans="1:23" ht="40.5" customHeight="1" x14ac:dyDescent="0.3">
      <c r="A339" s="496">
        <v>168</v>
      </c>
      <c r="B339" s="697">
        <v>24122000</v>
      </c>
      <c r="C339" s="699" t="s">
        <v>1686</v>
      </c>
      <c r="D339" s="701" t="s">
        <v>1687</v>
      </c>
      <c r="E339" s="669" t="s">
        <v>570</v>
      </c>
      <c r="F339" s="704" t="s">
        <v>79</v>
      </c>
      <c r="G339" s="687">
        <v>1</v>
      </c>
      <c r="H339" s="184" t="s">
        <v>1688</v>
      </c>
      <c r="I339" s="82">
        <f t="shared" si="765"/>
        <v>10240</v>
      </c>
      <c r="J339" s="83">
        <f t="shared" si="757"/>
        <v>19.000000000000004</v>
      </c>
      <c r="K339" s="197">
        <f>(10240*19%)+10240</f>
        <v>12185.6</v>
      </c>
      <c r="L339" s="85">
        <f>IF(I339="","",(K339)*$G$339)</f>
        <v>12185.6</v>
      </c>
      <c r="M339" s="689">
        <f t="shared" ref="M339" si="802">IFERROR(AVERAGE(L339:L340),"")</f>
        <v>12365.59</v>
      </c>
      <c r="N339" s="690">
        <f t="shared" ref="N339" si="803">IFERROR(HARMEAN(L339:L340),"")</f>
        <v>12362.970116913144</v>
      </c>
      <c r="O339" s="690">
        <f t="shared" ref="O339" si="804">IFERROR(MEDIAN(L339:L340),"")</f>
        <v>12365.59</v>
      </c>
      <c r="P339" s="87">
        <f t="shared" si="761"/>
        <v>12185.6</v>
      </c>
      <c r="Q339" s="381">
        <f t="shared" ref="Q339" si="805">IFERROR(SUM(P339:P340)/COUNTA(K339:K340),"")</f>
        <v>12365.59</v>
      </c>
      <c r="R339" s="380">
        <f t="shared" ref="R339" si="806">IFERROR(_xlfn.STDEV.S(L339:L340),"")</f>
        <v>254.54429909153308</v>
      </c>
      <c r="S339" s="382">
        <f t="shared" ref="S339" si="807">IFERROR(R339/M339,"")</f>
        <v>2.0584889123085356E-2</v>
      </c>
      <c r="T339" s="685" t="s">
        <v>2076</v>
      </c>
      <c r="U339" s="378">
        <f t="shared" si="726"/>
        <v>12365.59</v>
      </c>
      <c r="V339" s="686" t="s">
        <v>1689</v>
      </c>
      <c r="W339" s="192" t="s">
        <v>1690</v>
      </c>
    </row>
    <row r="340" spans="1:23" ht="40.5" customHeight="1" x14ac:dyDescent="0.3">
      <c r="A340" s="496"/>
      <c r="B340" s="698"/>
      <c r="C340" s="700"/>
      <c r="D340" s="702"/>
      <c r="E340" s="703"/>
      <c r="F340" s="704"/>
      <c r="G340" s="688"/>
      <c r="H340" s="186" t="s">
        <v>1691</v>
      </c>
      <c r="I340" s="82">
        <f t="shared" si="765"/>
        <v>10542.504201680673</v>
      </c>
      <c r="J340" s="83">
        <f t="shared" si="757"/>
        <v>18.999999999999993</v>
      </c>
      <c r="K340" s="197">
        <v>12545.58</v>
      </c>
      <c r="L340" s="85">
        <f>IF(I340="","",(K340)*$G$339)</f>
        <v>12545.58</v>
      </c>
      <c r="M340" s="689"/>
      <c r="N340" s="690"/>
      <c r="O340" s="690"/>
      <c r="P340" s="87">
        <f t="shared" si="761"/>
        <v>12545.58</v>
      </c>
      <c r="Q340" s="381"/>
      <c r="R340" s="380"/>
      <c r="S340" s="382"/>
      <c r="T340" s="685"/>
      <c r="U340" s="378">
        <f t="shared" si="726"/>
        <v>0</v>
      </c>
      <c r="V340" s="686"/>
      <c r="W340" s="192" t="s">
        <v>1692</v>
      </c>
    </row>
    <row r="341" spans="1:23" ht="15" customHeight="1" x14ac:dyDescent="0.3"/>
    <row r="342" spans="1:23" x14ac:dyDescent="0.3">
      <c r="H342" s="178"/>
      <c r="I342" s="179"/>
      <c r="J342" s="180"/>
      <c r="U342" s="206">
        <f>SUM(U5:U341)</f>
        <v>7390497.328662754</v>
      </c>
    </row>
    <row r="343" spans="1:23" ht="15" customHeight="1" x14ac:dyDescent="0.3">
      <c r="H343" s="178"/>
      <c r="I343" s="179"/>
      <c r="J343" s="180"/>
    </row>
    <row r="345" spans="1:23" ht="15" customHeight="1" x14ac:dyDescent="0.3"/>
    <row r="347" spans="1:23" ht="15" customHeight="1" x14ac:dyDescent="0.3"/>
    <row r="349" spans="1:23" ht="15" customHeight="1" x14ac:dyDescent="0.3"/>
    <row r="351" spans="1:23" ht="15" customHeight="1" x14ac:dyDescent="0.3"/>
    <row r="353" ht="15" customHeight="1" x14ac:dyDescent="0.3"/>
    <row r="355" ht="15" customHeight="1" x14ac:dyDescent="0.3"/>
    <row r="357" ht="15" customHeight="1" x14ac:dyDescent="0.3"/>
    <row r="359" ht="15" customHeight="1" x14ac:dyDescent="0.3"/>
    <row r="361" ht="15" customHeight="1" x14ac:dyDescent="0.3"/>
    <row r="363" ht="15" customHeight="1" x14ac:dyDescent="0.3"/>
    <row r="365" ht="15" customHeight="1" x14ac:dyDescent="0.3"/>
    <row r="367" ht="15" customHeight="1" x14ac:dyDescent="0.3"/>
    <row r="369" ht="15" customHeight="1" x14ac:dyDescent="0.3"/>
    <row r="371" ht="15" customHeight="1" x14ac:dyDescent="0.3"/>
    <row r="373" ht="15" customHeight="1" x14ac:dyDescent="0.3"/>
    <row r="375" ht="15" customHeight="1" x14ac:dyDescent="0.3"/>
    <row r="377" ht="15" customHeight="1" x14ac:dyDescent="0.3"/>
    <row r="379" ht="15" customHeight="1" x14ac:dyDescent="0.3"/>
  </sheetData>
  <autoFilter ref="A4:V340" xr:uid="{00000000-0009-0000-0000-000000000000}"/>
  <mergeCells count="2716">
    <mergeCell ref="F5:F6"/>
    <mergeCell ref="E5:E6"/>
    <mergeCell ref="D5:D6"/>
    <mergeCell ref="C5:C6"/>
    <mergeCell ref="B5:B6"/>
    <mergeCell ref="A5:A6"/>
    <mergeCell ref="A1:B2"/>
    <mergeCell ref="C1:G2"/>
    <mergeCell ref="H1:L2"/>
    <mergeCell ref="M1:T2"/>
    <mergeCell ref="U1:U2"/>
    <mergeCell ref="V1:V2"/>
    <mergeCell ref="S3:S4"/>
    <mergeCell ref="T3:T4"/>
    <mergeCell ref="U3:U4"/>
    <mergeCell ref="V3:V4"/>
    <mergeCell ref="M3:M4"/>
    <mergeCell ref="N3:N4"/>
    <mergeCell ref="O3:O4"/>
    <mergeCell ref="P3:P4"/>
    <mergeCell ref="Q3:Q4"/>
    <mergeCell ref="R3:R4"/>
    <mergeCell ref="G3:G4"/>
    <mergeCell ref="H3:H4"/>
    <mergeCell ref="I3:I4"/>
    <mergeCell ref="J3:J4"/>
    <mergeCell ref="K3:K4"/>
    <mergeCell ref="L3:L4"/>
    <mergeCell ref="A3:A4"/>
    <mergeCell ref="B3:B4"/>
    <mergeCell ref="C3:C4"/>
    <mergeCell ref="D3:D4"/>
    <mergeCell ref="E3:E4"/>
    <mergeCell ref="F3:F4"/>
    <mergeCell ref="S7:S8"/>
    <mergeCell ref="T7:T8"/>
    <mergeCell ref="U7:U8"/>
    <mergeCell ref="V7:V8"/>
    <mergeCell ref="A9:A10"/>
    <mergeCell ref="B9:B10"/>
    <mergeCell ref="C9:C10"/>
    <mergeCell ref="D9:D10"/>
    <mergeCell ref="E9:E10"/>
    <mergeCell ref="F9:F10"/>
    <mergeCell ref="G7:G8"/>
    <mergeCell ref="M7:M8"/>
    <mergeCell ref="N7:N8"/>
    <mergeCell ref="O7:O8"/>
    <mergeCell ref="Q7:Q8"/>
    <mergeCell ref="R7:R8"/>
    <mergeCell ref="S5:S6"/>
    <mergeCell ref="T5:T6"/>
    <mergeCell ref="U5:U6"/>
    <mergeCell ref="V5:V6"/>
    <mergeCell ref="A7:A8"/>
    <mergeCell ref="B7:B8"/>
    <mergeCell ref="C7:C8"/>
    <mergeCell ref="D7:D8"/>
    <mergeCell ref="E7:E8"/>
    <mergeCell ref="F7:F8"/>
    <mergeCell ref="G5:G6"/>
    <mergeCell ref="M5:M6"/>
    <mergeCell ref="N5:N6"/>
    <mergeCell ref="O5:O6"/>
    <mergeCell ref="Q5:Q6"/>
    <mergeCell ref="R5:R6"/>
    <mergeCell ref="S11:S12"/>
    <mergeCell ref="T11:T12"/>
    <mergeCell ref="U11:U12"/>
    <mergeCell ref="V11:V12"/>
    <mergeCell ref="A13:A14"/>
    <mergeCell ref="B13:B14"/>
    <mergeCell ref="C13:C14"/>
    <mergeCell ref="D13:D14"/>
    <mergeCell ref="E13:E14"/>
    <mergeCell ref="F13:F14"/>
    <mergeCell ref="G11:G12"/>
    <mergeCell ref="M11:M12"/>
    <mergeCell ref="N11:N12"/>
    <mergeCell ref="O11:O12"/>
    <mergeCell ref="Q11:Q12"/>
    <mergeCell ref="R11:R12"/>
    <mergeCell ref="S9:S10"/>
    <mergeCell ref="T9:T10"/>
    <mergeCell ref="U9:U10"/>
    <mergeCell ref="V9:V10"/>
    <mergeCell ref="A11:A12"/>
    <mergeCell ref="B11:B12"/>
    <mergeCell ref="C11:C12"/>
    <mergeCell ref="D11:D12"/>
    <mergeCell ref="E11:E12"/>
    <mergeCell ref="F11:F12"/>
    <mergeCell ref="G9:G10"/>
    <mergeCell ref="M9:M10"/>
    <mergeCell ref="N9:N10"/>
    <mergeCell ref="O9:O10"/>
    <mergeCell ref="Q9:Q10"/>
    <mergeCell ref="R9:R10"/>
    <mergeCell ref="S15:S16"/>
    <mergeCell ref="T15:T16"/>
    <mergeCell ref="U15:U16"/>
    <mergeCell ref="V15:V16"/>
    <mergeCell ref="A17:A18"/>
    <mergeCell ref="B17:B18"/>
    <mergeCell ref="C17:C18"/>
    <mergeCell ref="D17:D18"/>
    <mergeCell ref="E17:E18"/>
    <mergeCell ref="F17:F18"/>
    <mergeCell ref="G15:G16"/>
    <mergeCell ref="M15:M16"/>
    <mergeCell ref="N15:N16"/>
    <mergeCell ref="O15:O16"/>
    <mergeCell ref="Q15:Q16"/>
    <mergeCell ref="R15:R16"/>
    <mergeCell ref="S13:S14"/>
    <mergeCell ref="T13:T14"/>
    <mergeCell ref="U13:U14"/>
    <mergeCell ref="V13:V14"/>
    <mergeCell ref="A15:A16"/>
    <mergeCell ref="B15:B16"/>
    <mergeCell ref="C15:C16"/>
    <mergeCell ref="D15:D16"/>
    <mergeCell ref="E15:E16"/>
    <mergeCell ref="F15:F16"/>
    <mergeCell ref="G13:G14"/>
    <mergeCell ref="M13:M14"/>
    <mergeCell ref="N13:N14"/>
    <mergeCell ref="O13:O14"/>
    <mergeCell ref="Q13:Q14"/>
    <mergeCell ref="R13:R14"/>
    <mergeCell ref="S19:S20"/>
    <mergeCell ref="T19:T20"/>
    <mergeCell ref="U19:U20"/>
    <mergeCell ref="V19:V20"/>
    <mergeCell ref="A21:A22"/>
    <mergeCell ref="B21:B22"/>
    <mergeCell ref="C21:C22"/>
    <mergeCell ref="D21:D22"/>
    <mergeCell ref="E21:E22"/>
    <mergeCell ref="F21:F22"/>
    <mergeCell ref="G19:G20"/>
    <mergeCell ref="M19:M20"/>
    <mergeCell ref="N19:N20"/>
    <mergeCell ref="O19:O20"/>
    <mergeCell ref="Q19:Q20"/>
    <mergeCell ref="R19:R20"/>
    <mergeCell ref="S17:S18"/>
    <mergeCell ref="T17:T18"/>
    <mergeCell ref="U17:U18"/>
    <mergeCell ref="V17:V18"/>
    <mergeCell ref="A19:A20"/>
    <mergeCell ref="B19:B20"/>
    <mergeCell ref="C19:C20"/>
    <mergeCell ref="D19:D20"/>
    <mergeCell ref="E19:E20"/>
    <mergeCell ref="F19:F20"/>
    <mergeCell ref="G17:G18"/>
    <mergeCell ref="M17:M18"/>
    <mergeCell ref="N17:N18"/>
    <mergeCell ref="O17:O18"/>
    <mergeCell ref="Q17:Q18"/>
    <mergeCell ref="R17:R18"/>
    <mergeCell ref="S23:S24"/>
    <mergeCell ref="T23:T24"/>
    <mergeCell ref="U23:U24"/>
    <mergeCell ref="V23:V24"/>
    <mergeCell ref="A25:A26"/>
    <mergeCell ref="B25:B26"/>
    <mergeCell ref="C25:C26"/>
    <mergeCell ref="D25:D26"/>
    <mergeCell ref="E25:E26"/>
    <mergeCell ref="F25:F26"/>
    <mergeCell ref="G23:G24"/>
    <mergeCell ref="M23:M24"/>
    <mergeCell ref="N23:N24"/>
    <mergeCell ref="O23:O24"/>
    <mergeCell ref="Q23:Q24"/>
    <mergeCell ref="R23:R24"/>
    <mergeCell ref="S21:S22"/>
    <mergeCell ref="T21:T22"/>
    <mergeCell ref="U21:U22"/>
    <mergeCell ref="V21:V22"/>
    <mergeCell ref="A23:A24"/>
    <mergeCell ref="B23:B24"/>
    <mergeCell ref="C23:C24"/>
    <mergeCell ref="D23:D24"/>
    <mergeCell ref="E23:E24"/>
    <mergeCell ref="F23:F24"/>
    <mergeCell ref="G21:G22"/>
    <mergeCell ref="M21:M22"/>
    <mergeCell ref="N21:N22"/>
    <mergeCell ref="O21:O22"/>
    <mergeCell ref="Q21:Q22"/>
    <mergeCell ref="R21:R22"/>
    <mergeCell ref="S27:S28"/>
    <mergeCell ref="T27:T28"/>
    <mergeCell ref="U27:U28"/>
    <mergeCell ref="V27:V28"/>
    <mergeCell ref="A29:A30"/>
    <mergeCell ref="B29:B30"/>
    <mergeCell ref="C29:C30"/>
    <mergeCell ref="D29:D30"/>
    <mergeCell ref="E29:E30"/>
    <mergeCell ref="F29:F30"/>
    <mergeCell ref="G27:G28"/>
    <mergeCell ref="M27:M28"/>
    <mergeCell ref="N27:N28"/>
    <mergeCell ref="O27:O28"/>
    <mergeCell ref="Q27:Q28"/>
    <mergeCell ref="R27:R28"/>
    <mergeCell ref="S25:S26"/>
    <mergeCell ref="T25:T26"/>
    <mergeCell ref="U25:U26"/>
    <mergeCell ref="V25:V26"/>
    <mergeCell ref="A27:A28"/>
    <mergeCell ref="B27:B28"/>
    <mergeCell ref="C27:C28"/>
    <mergeCell ref="D27:D28"/>
    <mergeCell ref="E27:E28"/>
    <mergeCell ref="F27:F28"/>
    <mergeCell ref="G25:G26"/>
    <mergeCell ref="M25:M26"/>
    <mergeCell ref="N25:N26"/>
    <mergeCell ref="O25:O26"/>
    <mergeCell ref="Q25:Q26"/>
    <mergeCell ref="R25:R26"/>
    <mergeCell ref="S31:S32"/>
    <mergeCell ref="T31:T32"/>
    <mergeCell ref="U31:U32"/>
    <mergeCell ref="V31:V32"/>
    <mergeCell ref="A33:A34"/>
    <mergeCell ref="B33:B34"/>
    <mergeCell ref="C33:C34"/>
    <mergeCell ref="D33:D34"/>
    <mergeCell ref="E33:E34"/>
    <mergeCell ref="F33:F34"/>
    <mergeCell ref="G31:G32"/>
    <mergeCell ref="M31:M32"/>
    <mergeCell ref="N31:N32"/>
    <mergeCell ref="O31:O32"/>
    <mergeCell ref="Q31:Q32"/>
    <mergeCell ref="R31:R32"/>
    <mergeCell ref="S29:S30"/>
    <mergeCell ref="T29:T30"/>
    <mergeCell ref="U29:U30"/>
    <mergeCell ref="V29:V30"/>
    <mergeCell ref="A31:A32"/>
    <mergeCell ref="B31:B32"/>
    <mergeCell ref="C31:C32"/>
    <mergeCell ref="D31:D32"/>
    <mergeCell ref="E31:E32"/>
    <mergeCell ref="F31:F32"/>
    <mergeCell ref="G29:G30"/>
    <mergeCell ref="M29:M30"/>
    <mergeCell ref="N29:N30"/>
    <mergeCell ref="O29:O30"/>
    <mergeCell ref="Q29:Q30"/>
    <mergeCell ref="R29:R30"/>
    <mergeCell ref="S35:S36"/>
    <mergeCell ref="T35:T36"/>
    <mergeCell ref="U35:U36"/>
    <mergeCell ref="V35:V36"/>
    <mergeCell ref="A37:A38"/>
    <mergeCell ref="B37:B38"/>
    <mergeCell ref="C37:C38"/>
    <mergeCell ref="D37:D38"/>
    <mergeCell ref="E37:E38"/>
    <mergeCell ref="F37:F38"/>
    <mergeCell ref="G35:G36"/>
    <mergeCell ref="M35:M36"/>
    <mergeCell ref="N35:N36"/>
    <mergeCell ref="O35:O36"/>
    <mergeCell ref="Q35:Q36"/>
    <mergeCell ref="R35:R36"/>
    <mergeCell ref="S33:S34"/>
    <mergeCell ref="T33:T34"/>
    <mergeCell ref="U33:U34"/>
    <mergeCell ref="V33:V34"/>
    <mergeCell ref="A35:A36"/>
    <mergeCell ref="B35:B36"/>
    <mergeCell ref="C35:C36"/>
    <mergeCell ref="D35:D36"/>
    <mergeCell ref="E35:E36"/>
    <mergeCell ref="F35:F36"/>
    <mergeCell ref="G33:G34"/>
    <mergeCell ref="M33:M34"/>
    <mergeCell ref="N33:N34"/>
    <mergeCell ref="O33:O34"/>
    <mergeCell ref="Q33:Q34"/>
    <mergeCell ref="R33:R34"/>
    <mergeCell ref="S39:S40"/>
    <mergeCell ref="T39:T40"/>
    <mergeCell ref="U39:U40"/>
    <mergeCell ref="V39:V40"/>
    <mergeCell ref="A41:A42"/>
    <mergeCell ref="B41:B42"/>
    <mergeCell ref="C41:C42"/>
    <mergeCell ref="D41:D42"/>
    <mergeCell ref="E41:E42"/>
    <mergeCell ref="F41:F42"/>
    <mergeCell ref="G39:G40"/>
    <mergeCell ref="M39:M40"/>
    <mergeCell ref="N39:N40"/>
    <mergeCell ref="O39:O40"/>
    <mergeCell ref="Q39:Q40"/>
    <mergeCell ref="R39:R40"/>
    <mergeCell ref="S37:S38"/>
    <mergeCell ref="T37:T38"/>
    <mergeCell ref="U37:U38"/>
    <mergeCell ref="V37:V38"/>
    <mergeCell ref="A39:A40"/>
    <mergeCell ref="B39:B40"/>
    <mergeCell ref="C39:C40"/>
    <mergeCell ref="D39:D40"/>
    <mergeCell ref="E39:E40"/>
    <mergeCell ref="F39:F40"/>
    <mergeCell ref="G37:G38"/>
    <mergeCell ref="M37:M38"/>
    <mergeCell ref="N37:N38"/>
    <mergeCell ref="O37:O38"/>
    <mergeCell ref="Q37:Q38"/>
    <mergeCell ref="R37:R38"/>
    <mergeCell ref="S43:S44"/>
    <mergeCell ref="T43:T44"/>
    <mergeCell ref="U43:U44"/>
    <mergeCell ref="V43:V44"/>
    <mergeCell ref="A45:A46"/>
    <mergeCell ref="B45:B46"/>
    <mergeCell ref="C45:C46"/>
    <mergeCell ref="D45:D46"/>
    <mergeCell ref="E45:E46"/>
    <mergeCell ref="F45:F46"/>
    <mergeCell ref="G43:G44"/>
    <mergeCell ref="M43:M44"/>
    <mergeCell ref="N43:N44"/>
    <mergeCell ref="O43:O44"/>
    <mergeCell ref="Q43:Q44"/>
    <mergeCell ref="R43:R44"/>
    <mergeCell ref="S41:S42"/>
    <mergeCell ref="T41:T42"/>
    <mergeCell ref="U41:U42"/>
    <mergeCell ref="V41:V42"/>
    <mergeCell ref="A43:A44"/>
    <mergeCell ref="B43:B44"/>
    <mergeCell ref="C43:C44"/>
    <mergeCell ref="D43:D44"/>
    <mergeCell ref="E43:E44"/>
    <mergeCell ref="F43:F44"/>
    <mergeCell ref="G41:G42"/>
    <mergeCell ref="M41:M42"/>
    <mergeCell ref="N41:N42"/>
    <mergeCell ref="O41:O42"/>
    <mergeCell ref="Q41:Q42"/>
    <mergeCell ref="R41:R42"/>
    <mergeCell ref="S47:S48"/>
    <mergeCell ref="T47:T48"/>
    <mergeCell ref="U47:U48"/>
    <mergeCell ref="V47:V48"/>
    <mergeCell ref="A49:A50"/>
    <mergeCell ref="B49:B50"/>
    <mergeCell ref="C49:C50"/>
    <mergeCell ref="D49:D50"/>
    <mergeCell ref="E49:E50"/>
    <mergeCell ref="F49:F50"/>
    <mergeCell ref="G47:G48"/>
    <mergeCell ref="M47:M48"/>
    <mergeCell ref="N47:N48"/>
    <mergeCell ref="O47:O48"/>
    <mergeCell ref="Q47:Q48"/>
    <mergeCell ref="R47:R48"/>
    <mergeCell ref="S45:S46"/>
    <mergeCell ref="T45:T46"/>
    <mergeCell ref="U45:U46"/>
    <mergeCell ref="V45:V46"/>
    <mergeCell ref="A47:A48"/>
    <mergeCell ref="B47:B48"/>
    <mergeCell ref="C47:C48"/>
    <mergeCell ref="D47:D48"/>
    <mergeCell ref="E47:E48"/>
    <mergeCell ref="F47:F48"/>
    <mergeCell ref="G45:G46"/>
    <mergeCell ref="M45:M46"/>
    <mergeCell ref="N45:N46"/>
    <mergeCell ref="O45:O46"/>
    <mergeCell ref="Q45:Q46"/>
    <mergeCell ref="R45:R46"/>
    <mergeCell ref="S51:S52"/>
    <mergeCell ref="T51:T52"/>
    <mergeCell ref="U51:U52"/>
    <mergeCell ref="V51:V52"/>
    <mergeCell ref="A53:A54"/>
    <mergeCell ref="B53:B54"/>
    <mergeCell ref="C53:C54"/>
    <mergeCell ref="D53:D54"/>
    <mergeCell ref="E53:E54"/>
    <mergeCell ref="F53:F54"/>
    <mergeCell ref="G51:G52"/>
    <mergeCell ref="M51:M52"/>
    <mergeCell ref="N51:N52"/>
    <mergeCell ref="O51:O52"/>
    <mergeCell ref="Q51:Q52"/>
    <mergeCell ref="R51:R52"/>
    <mergeCell ref="S49:S50"/>
    <mergeCell ref="T49:T50"/>
    <mergeCell ref="U49:U50"/>
    <mergeCell ref="V49:V50"/>
    <mergeCell ref="A51:A52"/>
    <mergeCell ref="B51:B52"/>
    <mergeCell ref="C51:C52"/>
    <mergeCell ref="D51:D52"/>
    <mergeCell ref="E51:E52"/>
    <mergeCell ref="F51:F52"/>
    <mergeCell ref="G49:G50"/>
    <mergeCell ref="M49:M50"/>
    <mergeCell ref="N49:N50"/>
    <mergeCell ref="O49:O50"/>
    <mergeCell ref="Q49:Q50"/>
    <mergeCell ref="R49:R50"/>
    <mergeCell ref="S55:S56"/>
    <mergeCell ref="T55:T56"/>
    <mergeCell ref="U55:U56"/>
    <mergeCell ref="V55:V56"/>
    <mergeCell ref="A57:A58"/>
    <mergeCell ref="B57:B58"/>
    <mergeCell ref="C57:C58"/>
    <mergeCell ref="D57:D58"/>
    <mergeCell ref="E57:E58"/>
    <mergeCell ref="F57:F58"/>
    <mergeCell ref="G55:G56"/>
    <mergeCell ref="M55:M56"/>
    <mergeCell ref="N55:N56"/>
    <mergeCell ref="O55:O56"/>
    <mergeCell ref="Q55:Q56"/>
    <mergeCell ref="R55:R56"/>
    <mergeCell ref="S53:S54"/>
    <mergeCell ref="T53:T54"/>
    <mergeCell ref="U53:U54"/>
    <mergeCell ref="V53:V54"/>
    <mergeCell ref="A55:A56"/>
    <mergeCell ref="B55:B56"/>
    <mergeCell ref="C55:C56"/>
    <mergeCell ref="D55:D56"/>
    <mergeCell ref="E55:E56"/>
    <mergeCell ref="F55:F56"/>
    <mergeCell ref="G53:G54"/>
    <mergeCell ref="M53:M54"/>
    <mergeCell ref="N53:N54"/>
    <mergeCell ref="O53:O54"/>
    <mergeCell ref="Q53:Q54"/>
    <mergeCell ref="R53:R54"/>
    <mergeCell ref="S59:S60"/>
    <mergeCell ref="T59:T60"/>
    <mergeCell ref="U59:U60"/>
    <mergeCell ref="V59:V60"/>
    <mergeCell ref="A61:A62"/>
    <mergeCell ref="B61:B62"/>
    <mergeCell ref="C61:C62"/>
    <mergeCell ref="D61:D62"/>
    <mergeCell ref="E61:E62"/>
    <mergeCell ref="F61:F62"/>
    <mergeCell ref="G59:G60"/>
    <mergeCell ref="M59:M60"/>
    <mergeCell ref="N59:N60"/>
    <mergeCell ref="O59:O60"/>
    <mergeCell ref="Q59:Q60"/>
    <mergeCell ref="R59:R60"/>
    <mergeCell ref="S57:S58"/>
    <mergeCell ref="T57:T58"/>
    <mergeCell ref="U57:U58"/>
    <mergeCell ref="V57:V58"/>
    <mergeCell ref="A59:A60"/>
    <mergeCell ref="B59:B60"/>
    <mergeCell ref="C59:C60"/>
    <mergeCell ref="D59:D60"/>
    <mergeCell ref="E59:E60"/>
    <mergeCell ref="F59:F60"/>
    <mergeCell ref="G57:G58"/>
    <mergeCell ref="M57:M58"/>
    <mergeCell ref="N57:N58"/>
    <mergeCell ref="O57:O58"/>
    <mergeCell ref="Q57:Q58"/>
    <mergeCell ref="R57:R58"/>
    <mergeCell ref="S63:S64"/>
    <mergeCell ref="T63:T64"/>
    <mergeCell ref="U63:U64"/>
    <mergeCell ref="V63:V64"/>
    <mergeCell ref="A65:A66"/>
    <mergeCell ref="B65:B66"/>
    <mergeCell ref="C65:C66"/>
    <mergeCell ref="D65:D66"/>
    <mergeCell ref="E65:E66"/>
    <mergeCell ref="F65:F66"/>
    <mergeCell ref="G63:G64"/>
    <mergeCell ref="M63:M64"/>
    <mergeCell ref="N63:N64"/>
    <mergeCell ref="O63:O64"/>
    <mergeCell ref="Q63:Q64"/>
    <mergeCell ref="R63:R64"/>
    <mergeCell ref="S61:S62"/>
    <mergeCell ref="T61:T62"/>
    <mergeCell ref="U61:U62"/>
    <mergeCell ref="V61:V62"/>
    <mergeCell ref="A63:A64"/>
    <mergeCell ref="B63:B64"/>
    <mergeCell ref="C63:C64"/>
    <mergeCell ref="D63:D64"/>
    <mergeCell ref="E63:E64"/>
    <mergeCell ref="F63:F64"/>
    <mergeCell ref="G61:G62"/>
    <mergeCell ref="M61:M62"/>
    <mergeCell ref="N61:N62"/>
    <mergeCell ref="O61:O62"/>
    <mergeCell ref="Q61:Q62"/>
    <mergeCell ref="R61:R62"/>
    <mergeCell ref="S67:S68"/>
    <mergeCell ref="T67:T68"/>
    <mergeCell ref="U67:U68"/>
    <mergeCell ref="V67:V68"/>
    <mergeCell ref="A69:A70"/>
    <mergeCell ref="B69:B70"/>
    <mergeCell ref="C69:C70"/>
    <mergeCell ref="D69:D70"/>
    <mergeCell ref="E69:E70"/>
    <mergeCell ref="F69:F70"/>
    <mergeCell ref="G67:G68"/>
    <mergeCell ref="M67:M68"/>
    <mergeCell ref="N67:N68"/>
    <mergeCell ref="O67:O68"/>
    <mergeCell ref="Q67:Q68"/>
    <mergeCell ref="R67:R68"/>
    <mergeCell ref="S65:S66"/>
    <mergeCell ref="T65:T66"/>
    <mergeCell ref="U65:U66"/>
    <mergeCell ref="V65:V66"/>
    <mergeCell ref="A67:A68"/>
    <mergeCell ref="B67:B68"/>
    <mergeCell ref="C67:C68"/>
    <mergeCell ref="D67:D68"/>
    <mergeCell ref="E67:E68"/>
    <mergeCell ref="F67:F68"/>
    <mergeCell ref="G65:G66"/>
    <mergeCell ref="M65:M66"/>
    <mergeCell ref="N65:N66"/>
    <mergeCell ref="O65:O66"/>
    <mergeCell ref="Q65:Q66"/>
    <mergeCell ref="R65:R66"/>
    <mergeCell ref="S71:S72"/>
    <mergeCell ref="T71:T72"/>
    <mergeCell ref="U71:U72"/>
    <mergeCell ref="V71:V72"/>
    <mergeCell ref="A73:A74"/>
    <mergeCell ref="B73:B74"/>
    <mergeCell ref="C73:C74"/>
    <mergeCell ref="D73:D74"/>
    <mergeCell ref="E73:E74"/>
    <mergeCell ref="F73:F74"/>
    <mergeCell ref="G71:G72"/>
    <mergeCell ref="M71:M72"/>
    <mergeCell ref="N71:N72"/>
    <mergeCell ref="O71:O72"/>
    <mergeCell ref="Q71:Q72"/>
    <mergeCell ref="R71:R72"/>
    <mergeCell ref="S69:S70"/>
    <mergeCell ref="T69:T70"/>
    <mergeCell ref="U69:U70"/>
    <mergeCell ref="V69:V70"/>
    <mergeCell ref="A71:A72"/>
    <mergeCell ref="B71:B72"/>
    <mergeCell ref="C71:C72"/>
    <mergeCell ref="D71:D72"/>
    <mergeCell ref="E71:E72"/>
    <mergeCell ref="F71:F72"/>
    <mergeCell ref="G69:G70"/>
    <mergeCell ref="M69:M70"/>
    <mergeCell ref="N69:N70"/>
    <mergeCell ref="O69:O70"/>
    <mergeCell ref="Q69:Q70"/>
    <mergeCell ref="R69:R70"/>
    <mergeCell ref="S75:S76"/>
    <mergeCell ref="T75:T76"/>
    <mergeCell ref="U75:U76"/>
    <mergeCell ref="V75:V76"/>
    <mergeCell ref="A77:A78"/>
    <mergeCell ref="B77:B78"/>
    <mergeCell ref="C77:C78"/>
    <mergeCell ref="D77:D78"/>
    <mergeCell ref="E77:E78"/>
    <mergeCell ref="F77:F78"/>
    <mergeCell ref="G75:G76"/>
    <mergeCell ref="M75:M76"/>
    <mergeCell ref="N75:N76"/>
    <mergeCell ref="O75:O76"/>
    <mergeCell ref="Q75:Q76"/>
    <mergeCell ref="R75:R76"/>
    <mergeCell ref="S73:S74"/>
    <mergeCell ref="T73:T74"/>
    <mergeCell ref="U73:U74"/>
    <mergeCell ref="V73:V74"/>
    <mergeCell ref="A75:A76"/>
    <mergeCell ref="B75:B76"/>
    <mergeCell ref="C75:C76"/>
    <mergeCell ref="D75:D76"/>
    <mergeCell ref="E75:E76"/>
    <mergeCell ref="F75:F76"/>
    <mergeCell ref="G73:G74"/>
    <mergeCell ref="M73:M74"/>
    <mergeCell ref="N73:N74"/>
    <mergeCell ref="O73:O74"/>
    <mergeCell ref="Q73:Q74"/>
    <mergeCell ref="R73:R74"/>
    <mergeCell ref="S79:S80"/>
    <mergeCell ref="T79:T80"/>
    <mergeCell ref="U79:U80"/>
    <mergeCell ref="V79:V80"/>
    <mergeCell ref="A81:A82"/>
    <mergeCell ref="B81:B82"/>
    <mergeCell ref="C81:C82"/>
    <mergeCell ref="D81:D82"/>
    <mergeCell ref="E81:E82"/>
    <mergeCell ref="F81:F82"/>
    <mergeCell ref="G79:G80"/>
    <mergeCell ref="M79:M80"/>
    <mergeCell ref="N79:N80"/>
    <mergeCell ref="O79:O80"/>
    <mergeCell ref="Q79:Q80"/>
    <mergeCell ref="R79:R80"/>
    <mergeCell ref="S77:S78"/>
    <mergeCell ref="T77:T78"/>
    <mergeCell ref="U77:U78"/>
    <mergeCell ref="V77:V78"/>
    <mergeCell ref="A79:A80"/>
    <mergeCell ref="B79:B80"/>
    <mergeCell ref="C79:C80"/>
    <mergeCell ref="D79:D80"/>
    <mergeCell ref="E79:E80"/>
    <mergeCell ref="F79:F80"/>
    <mergeCell ref="G77:G78"/>
    <mergeCell ref="M77:M78"/>
    <mergeCell ref="N77:N78"/>
    <mergeCell ref="O77:O78"/>
    <mergeCell ref="Q77:Q78"/>
    <mergeCell ref="R77:R78"/>
    <mergeCell ref="S83:S84"/>
    <mergeCell ref="T83:T84"/>
    <mergeCell ref="U83:U84"/>
    <mergeCell ref="V83:V84"/>
    <mergeCell ref="A85:A86"/>
    <mergeCell ref="B85:B86"/>
    <mergeCell ref="C85:C86"/>
    <mergeCell ref="D85:D86"/>
    <mergeCell ref="E85:E86"/>
    <mergeCell ref="F85:F86"/>
    <mergeCell ref="G83:G84"/>
    <mergeCell ref="M83:M84"/>
    <mergeCell ref="N83:N84"/>
    <mergeCell ref="O83:O84"/>
    <mergeCell ref="Q83:Q84"/>
    <mergeCell ref="R83:R84"/>
    <mergeCell ref="S81:S82"/>
    <mergeCell ref="T81:T82"/>
    <mergeCell ref="U81:U82"/>
    <mergeCell ref="V81:V82"/>
    <mergeCell ref="A83:A84"/>
    <mergeCell ref="B83:B84"/>
    <mergeCell ref="C83:C84"/>
    <mergeCell ref="D83:D84"/>
    <mergeCell ref="E83:E84"/>
    <mergeCell ref="F83:F84"/>
    <mergeCell ref="G81:G82"/>
    <mergeCell ref="M81:M82"/>
    <mergeCell ref="N81:N82"/>
    <mergeCell ref="O81:O82"/>
    <mergeCell ref="Q81:Q82"/>
    <mergeCell ref="R81:R82"/>
    <mergeCell ref="S87:S88"/>
    <mergeCell ref="T87:T88"/>
    <mergeCell ref="U87:U88"/>
    <mergeCell ref="V87:V88"/>
    <mergeCell ref="A89:A90"/>
    <mergeCell ref="B89:B90"/>
    <mergeCell ref="C89:C90"/>
    <mergeCell ref="D89:D90"/>
    <mergeCell ref="E89:E90"/>
    <mergeCell ref="F89:F90"/>
    <mergeCell ref="G87:G88"/>
    <mergeCell ref="M87:M88"/>
    <mergeCell ref="N87:N88"/>
    <mergeCell ref="O87:O88"/>
    <mergeCell ref="Q87:Q88"/>
    <mergeCell ref="R87:R88"/>
    <mergeCell ref="S85:S86"/>
    <mergeCell ref="T85:T86"/>
    <mergeCell ref="U85:U86"/>
    <mergeCell ref="V85:V86"/>
    <mergeCell ref="A87:A88"/>
    <mergeCell ref="B87:B88"/>
    <mergeCell ref="C87:C88"/>
    <mergeCell ref="D87:D88"/>
    <mergeCell ref="E87:E88"/>
    <mergeCell ref="F87:F88"/>
    <mergeCell ref="G85:G86"/>
    <mergeCell ref="M85:M86"/>
    <mergeCell ref="N85:N86"/>
    <mergeCell ref="O85:O86"/>
    <mergeCell ref="Q85:Q86"/>
    <mergeCell ref="R85:R86"/>
    <mergeCell ref="S91:S92"/>
    <mergeCell ref="T91:T92"/>
    <mergeCell ref="U91:U92"/>
    <mergeCell ref="V91:V92"/>
    <mergeCell ref="A93:A94"/>
    <mergeCell ref="B93:B94"/>
    <mergeCell ref="C93:C94"/>
    <mergeCell ref="D93:D94"/>
    <mergeCell ref="E93:E94"/>
    <mergeCell ref="F93:F94"/>
    <mergeCell ref="G91:G92"/>
    <mergeCell ref="M91:M92"/>
    <mergeCell ref="N91:N92"/>
    <mergeCell ref="O91:O92"/>
    <mergeCell ref="Q91:Q92"/>
    <mergeCell ref="R91:R92"/>
    <mergeCell ref="S89:S90"/>
    <mergeCell ref="T89:T90"/>
    <mergeCell ref="U89:U90"/>
    <mergeCell ref="V89:V90"/>
    <mergeCell ref="A91:A92"/>
    <mergeCell ref="B91:B92"/>
    <mergeCell ref="C91:C92"/>
    <mergeCell ref="D91:D92"/>
    <mergeCell ref="E91:E92"/>
    <mergeCell ref="F91:F92"/>
    <mergeCell ref="G89:G90"/>
    <mergeCell ref="M89:M90"/>
    <mergeCell ref="N89:N90"/>
    <mergeCell ref="O89:O90"/>
    <mergeCell ref="Q89:Q90"/>
    <mergeCell ref="R89:R90"/>
    <mergeCell ref="S95:S96"/>
    <mergeCell ref="T95:T96"/>
    <mergeCell ref="U95:U96"/>
    <mergeCell ref="V95:V96"/>
    <mergeCell ref="A97:A98"/>
    <mergeCell ref="B97:B98"/>
    <mergeCell ref="C97:C98"/>
    <mergeCell ref="D97:D98"/>
    <mergeCell ref="E97:E98"/>
    <mergeCell ref="F97:F98"/>
    <mergeCell ref="G95:G96"/>
    <mergeCell ref="M95:M96"/>
    <mergeCell ref="N95:N96"/>
    <mergeCell ref="O95:O96"/>
    <mergeCell ref="Q95:Q96"/>
    <mergeCell ref="R95:R96"/>
    <mergeCell ref="S93:S94"/>
    <mergeCell ref="T93:T94"/>
    <mergeCell ref="U93:U94"/>
    <mergeCell ref="V93:V94"/>
    <mergeCell ref="A95:A96"/>
    <mergeCell ref="B95:B96"/>
    <mergeCell ref="C95:C96"/>
    <mergeCell ref="D95:D96"/>
    <mergeCell ref="E95:E96"/>
    <mergeCell ref="F95:F96"/>
    <mergeCell ref="G93:G94"/>
    <mergeCell ref="M93:M94"/>
    <mergeCell ref="N93:N94"/>
    <mergeCell ref="O93:O94"/>
    <mergeCell ref="Q93:Q94"/>
    <mergeCell ref="R93:R94"/>
    <mergeCell ref="S99:S100"/>
    <mergeCell ref="T99:T100"/>
    <mergeCell ref="U99:U100"/>
    <mergeCell ref="V99:V100"/>
    <mergeCell ref="A101:A102"/>
    <mergeCell ref="B101:B102"/>
    <mergeCell ref="C101:C102"/>
    <mergeCell ref="D101:D102"/>
    <mergeCell ref="E101:E102"/>
    <mergeCell ref="F101:F102"/>
    <mergeCell ref="G99:G100"/>
    <mergeCell ref="M99:M100"/>
    <mergeCell ref="N99:N100"/>
    <mergeCell ref="O99:O100"/>
    <mergeCell ref="Q99:Q100"/>
    <mergeCell ref="R99:R100"/>
    <mergeCell ref="S97:S98"/>
    <mergeCell ref="T97:T98"/>
    <mergeCell ref="U97:U98"/>
    <mergeCell ref="V97:V98"/>
    <mergeCell ref="A99:A100"/>
    <mergeCell ref="B99:B100"/>
    <mergeCell ref="C99:C100"/>
    <mergeCell ref="D99:D100"/>
    <mergeCell ref="E99:E100"/>
    <mergeCell ref="F99:F100"/>
    <mergeCell ref="G97:G98"/>
    <mergeCell ref="M97:M98"/>
    <mergeCell ref="N97:N98"/>
    <mergeCell ref="O97:O98"/>
    <mergeCell ref="Q97:Q98"/>
    <mergeCell ref="R97:R98"/>
    <mergeCell ref="S103:S104"/>
    <mergeCell ref="T103:T104"/>
    <mergeCell ref="U103:U104"/>
    <mergeCell ref="V103:V104"/>
    <mergeCell ref="A105:A106"/>
    <mergeCell ref="B105:B106"/>
    <mergeCell ref="C105:C106"/>
    <mergeCell ref="D105:D106"/>
    <mergeCell ref="E105:E106"/>
    <mergeCell ref="F105:F106"/>
    <mergeCell ref="G103:G104"/>
    <mergeCell ref="M103:M104"/>
    <mergeCell ref="N103:N104"/>
    <mergeCell ref="O103:O104"/>
    <mergeCell ref="Q103:Q104"/>
    <mergeCell ref="R103:R104"/>
    <mergeCell ref="S101:S102"/>
    <mergeCell ref="T101:T102"/>
    <mergeCell ref="U101:U102"/>
    <mergeCell ref="V101:V102"/>
    <mergeCell ref="A103:A104"/>
    <mergeCell ref="B103:B104"/>
    <mergeCell ref="C103:C104"/>
    <mergeCell ref="D103:D104"/>
    <mergeCell ref="E103:E104"/>
    <mergeCell ref="F103:F104"/>
    <mergeCell ref="G101:G102"/>
    <mergeCell ref="M101:M102"/>
    <mergeCell ref="N101:N102"/>
    <mergeCell ref="O101:O102"/>
    <mergeCell ref="Q101:Q102"/>
    <mergeCell ref="R101:R102"/>
    <mergeCell ref="S107:S108"/>
    <mergeCell ref="T107:T108"/>
    <mergeCell ref="U107:U108"/>
    <mergeCell ref="V107:V108"/>
    <mergeCell ref="A109:A110"/>
    <mergeCell ref="B109:B110"/>
    <mergeCell ref="C109:C110"/>
    <mergeCell ref="D109:D110"/>
    <mergeCell ref="E109:E110"/>
    <mergeCell ref="F109:F110"/>
    <mergeCell ref="G107:G108"/>
    <mergeCell ref="M107:M108"/>
    <mergeCell ref="N107:N108"/>
    <mergeCell ref="O107:O108"/>
    <mergeCell ref="Q107:Q108"/>
    <mergeCell ref="R107:R108"/>
    <mergeCell ref="S105:S106"/>
    <mergeCell ref="T105:T106"/>
    <mergeCell ref="U105:U106"/>
    <mergeCell ref="V105:V106"/>
    <mergeCell ref="A107:A108"/>
    <mergeCell ref="B107:B108"/>
    <mergeCell ref="C107:C108"/>
    <mergeCell ref="D107:D108"/>
    <mergeCell ref="E107:E108"/>
    <mergeCell ref="F107:F108"/>
    <mergeCell ref="G105:G106"/>
    <mergeCell ref="M105:M106"/>
    <mergeCell ref="N105:N106"/>
    <mergeCell ref="O105:O106"/>
    <mergeCell ref="Q105:Q106"/>
    <mergeCell ref="R105:R106"/>
    <mergeCell ref="S111:S112"/>
    <mergeCell ref="T111:T112"/>
    <mergeCell ref="U111:U112"/>
    <mergeCell ref="V111:V112"/>
    <mergeCell ref="A113:A114"/>
    <mergeCell ref="B113:B114"/>
    <mergeCell ref="C113:C114"/>
    <mergeCell ref="D113:D114"/>
    <mergeCell ref="E113:E114"/>
    <mergeCell ref="F113:F114"/>
    <mergeCell ref="G111:G112"/>
    <mergeCell ref="M111:M112"/>
    <mergeCell ref="N111:N112"/>
    <mergeCell ref="O111:O112"/>
    <mergeCell ref="Q111:Q112"/>
    <mergeCell ref="R111:R112"/>
    <mergeCell ref="S109:S110"/>
    <mergeCell ref="T109:T110"/>
    <mergeCell ref="U109:U110"/>
    <mergeCell ref="V109:V110"/>
    <mergeCell ref="A111:A112"/>
    <mergeCell ref="B111:B112"/>
    <mergeCell ref="C111:C112"/>
    <mergeCell ref="D111:D112"/>
    <mergeCell ref="E111:E112"/>
    <mergeCell ref="F111:F112"/>
    <mergeCell ref="G109:G110"/>
    <mergeCell ref="M109:M110"/>
    <mergeCell ref="N109:N110"/>
    <mergeCell ref="O109:O110"/>
    <mergeCell ref="Q109:Q110"/>
    <mergeCell ref="R109:R110"/>
    <mergeCell ref="S115:S116"/>
    <mergeCell ref="T115:T116"/>
    <mergeCell ref="U115:U116"/>
    <mergeCell ref="V115:V116"/>
    <mergeCell ref="A117:A118"/>
    <mergeCell ref="B117:B118"/>
    <mergeCell ref="C117:C118"/>
    <mergeCell ref="D117:D118"/>
    <mergeCell ref="E117:E118"/>
    <mergeCell ref="F117:F118"/>
    <mergeCell ref="G115:G116"/>
    <mergeCell ref="M115:M116"/>
    <mergeCell ref="N115:N116"/>
    <mergeCell ref="O115:O116"/>
    <mergeCell ref="Q115:Q116"/>
    <mergeCell ref="R115:R116"/>
    <mergeCell ref="S113:S114"/>
    <mergeCell ref="T113:T114"/>
    <mergeCell ref="U113:U114"/>
    <mergeCell ref="V113:V114"/>
    <mergeCell ref="A115:A116"/>
    <mergeCell ref="B115:B116"/>
    <mergeCell ref="C115:C116"/>
    <mergeCell ref="D115:D116"/>
    <mergeCell ref="E115:E116"/>
    <mergeCell ref="F115:F116"/>
    <mergeCell ref="G113:G114"/>
    <mergeCell ref="M113:M114"/>
    <mergeCell ref="N113:N114"/>
    <mergeCell ref="O113:O114"/>
    <mergeCell ref="Q113:Q114"/>
    <mergeCell ref="R113:R114"/>
    <mergeCell ref="S119:S120"/>
    <mergeCell ref="T119:T120"/>
    <mergeCell ref="U119:U120"/>
    <mergeCell ref="V119:V120"/>
    <mergeCell ref="A121:A122"/>
    <mergeCell ref="B121:B122"/>
    <mergeCell ref="C121:C122"/>
    <mergeCell ref="D121:D122"/>
    <mergeCell ref="E121:E122"/>
    <mergeCell ref="F121:F122"/>
    <mergeCell ref="G119:G120"/>
    <mergeCell ref="M119:M120"/>
    <mergeCell ref="N119:N120"/>
    <mergeCell ref="O119:O120"/>
    <mergeCell ref="Q119:Q120"/>
    <mergeCell ref="R119:R120"/>
    <mergeCell ref="S117:S118"/>
    <mergeCell ref="T117:T118"/>
    <mergeCell ref="U117:U118"/>
    <mergeCell ref="V117:V118"/>
    <mergeCell ref="A119:A120"/>
    <mergeCell ref="B119:B120"/>
    <mergeCell ref="C119:C120"/>
    <mergeCell ref="D119:D120"/>
    <mergeCell ref="E119:E120"/>
    <mergeCell ref="F119:F120"/>
    <mergeCell ref="G117:G118"/>
    <mergeCell ref="M117:M118"/>
    <mergeCell ref="N117:N118"/>
    <mergeCell ref="O117:O118"/>
    <mergeCell ref="Q117:Q118"/>
    <mergeCell ref="R117:R118"/>
    <mergeCell ref="S123:S124"/>
    <mergeCell ref="T123:T124"/>
    <mergeCell ref="U123:U124"/>
    <mergeCell ref="V123:V124"/>
    <mergeCell ref="A125:A126"/>
    <mergeCell ref="B125:B126"/>
    <mergeCell ref="C125:C126"/>
    <mergeCell ref="D125:D126"/>
    <mergeCell ref="E125:E126"/>
    <mergeCell ref="F125:F126"/>
    <mergeCell ref="G123:G124"/>
    <mergeCell ref="M123:M124"/>
    <mergeCell ref="N123:N124"/>
    <mergeCell ref="O123:O124"/>
    <mergeCell ref="Q123:Q124"/>
    <mergeCell ref="R123:R124"/>
    <mergeCell ref="S121:S122"/>
    <mergeCell ref="T121:T122"/>
    <mergeCell ref="U121:U122"/>
    <mergeCell ref="V121:V122"/>
    <mergeCell ref="A123:A124"/>
    <mergeCell ref="B123:B124"/>
    <mergeCell ref="C123:C124"/>
    <mergeCell ref="D123:D124"/>
    <mergeCell ref="E123:E124"/>
    <mergeCell ref="F123:F124"/>
    <mergeCell ref="G121:G122"/>
    <mergeCell ref="M121:M122"/>
    <mergeCell ref="N121:N122"/>
    <mergeCell ref="O121:O122"/>
    <mergeCell ref="Q121:Q122"/>
    <mergeCell ref="R121:R122"/>
    <mergeCell ref="S127:S128"/>
    <mergeCell ref="T127:T128"/>
    <mergeCell ref="U127:U128"/>
    <mergeCell ref="V127:V128"/>
    <mergeCell ref="A129:A130"/>
    <mergeCell ref="B129:B130"/>
    <mergeCell ref="C129:C130"/>
    <mergeCell ref="D129:D130"/>
    <mergeCell ref="E129:E130"/>
    <mergeCell ref="F129:F130"/>
    <mergeCell ref="G127:G128"/>
    <mergeCell ref="M127:M128"/>
    <mergeCell ref="N127:N128"/>
    <mergeCell ref="O127:O128"/>
    <mergeCell ref="Q127:Q128"/>
    <mergeCell ref="R127:R128"/>
    <mergeCell ref="S125:S126"/>
    <mergeCell ref="T125:T126"/>
    <mergeCell ref="U125:U126"/>
    <mergeCell ref="V125:V126"/>
    <mergeCell ref="A127:A128"/>
    <mergeCell ref="B127:B128"/>
    <mergeCell ref="C127:C128"/>
    <mergeCell ref="D127:D128"/>
    <mergeCell ref="E127:E128"/>
    <mergeCell ref="F127:F128"/>
    <mergeCell ref="G125:G126"/>
    <mergeCell ref="M125:M126"/>
    <mergeCell ref="N125:N126"/>
    <mergeCell ref="O125:O126"/>
    <mergeCell ref="Q125:Q126"/>
    <mergeCell ref="R125:R126"/>
    <mergeCell ref="S131:S132"/>
    <mergeCell ref="T131:T132"/>
    <mergeCell ref="U131:U132"/>
    <mergeCell ref="V131:V132"/>
    <mergeCell ref="A133:A134"/>
    <mergeCell ref="B133:B134"/>
    <mergeCell ref="C133:C134"/>
    <mergeCell ref="D133:D134"/>
    <mergeCell ref="E133:E134"/>
    <mergeCell ref="F133:F134"/>
    <mergeCell ref="G131:G132"/>
    <mergeCell ref="M131:M132"/>
    <mergeCell ref="N131:N132"/>
    <mergeCell ref="O131:O132"/>
    <mergeCell ref="Q131:Q132"/>
    <mergeCell ref="R131:R132"/>
    <mergeCell ref="S129:S130"/>
    <mergeCell ref="T129:T130"/>
    <mergeCell ref="U129:U130"/>
    <mergeCell ref="V129:V130"/>
    <mergeCell ref="A131:A132"/>
    <mergeCell ref="B131:B132"/>
    <mergeCell ref="C131:C132"/>
    <mergeCell ref="D131:D132"/>
    <mergeCell ref="E131:E132"/>
    <mergeCell ref="F131:F132"/>
    <mergeCell ref="G129:G130"/>
    <mergeCell ref="M129:M130"/>
    <mergeCell ref="N129:N130"/>
    <mergeCell ref="O129:O130"/>
    <mergeCell ref="Q129:Q130"/>
    <mergeCell ref="R129:R130"/>
    <mergeCell ref="S135:S136"/>
    <mergeCell ref="T135:T136"/>
    <mergeCell ref="U135:U136"/>
    <mergeCell ref="V135:V136"/>
    <mergeCell ref="A137:A138"/>
    <mergeCell ref="B137:B138"/>
    <mergeCell ref="C137:C138"/>
    <mergeCell ref="D137:D138"/>
    <mergeCell ref="E137:E138"/>
    <mergeCell ref="F137:F138"/>
    <mergeCell ref="G135:G136"/>
    <mergeCell ref="M135:M136"/>
    <mergeCell ref="N135:N136"/>
    <mergeCell ref="O135:O136"/>
    <mergeCell ref="Q135:Q136"/>
    <mergeCell ref="R135:R136"/>
    <mergeCell ref="S133:S134"/>
    <mergeCell ref="T133:T134"/>
    <mergeCell ref="U133:U134"/>
    <mergeCell ref="V133:V134"/>
    <mergeCell ref="A135:A136"/>
    <mergeCell ref="B135:B136"/>
    <mergeCell ref="C135:C136"/>
    <mergeCell ref="D135:D136"/>
    <mergeCell ref="E135:E136"/>
    <mergeCell ref="F135:F136"/>
    <mergeCell ref="G133:G134"/>
    <mergeCell ref="M133:M134"/>
    <mergeCell ref="N133:N134"/>
    <mergeCell ref="O133:O134"/>
    <mergeCell ref="Q133:Q134"/>
    <mergeCell ref="R133:R134"/>
    <mergeCell ref="S139:S140"/>
    <mergeCell ref="T139:T140"/>
    <mergeCell ref="U139:U140"/>
    <mergeCell ref="V139:V140"/>
    <mergeCell ref="A141:A142"/>
    <mergeCell ref="B141:B142"/>
    <mergeCell ref="C141:C142"/>
    <mergeCell ref="D141:D142"/>
    <mergeCell ref="E141:E142"/>
    <mergeCell ref="F141:F142"/>
    <mergeCell ref="G139:G140"/>
    <mergeCell ref="M139:M140"/>
    <mergeCell ref="N139:N140"/>
    <mergeCell ref="O139:O140"/>
    <mergeCell ref="Q139:Q140"/>
    <mergeCell ref="R139:R140"/>
    <mergeCell ref="S137:S138"/>
    <mergeCell ref="T137:T138"/>
    <mergeCell ref="U137:U138"/>
    <mergeCell ref="V137:V138"/>
    <mergeCell ref="A139:A140"/>
    <mergeCell ref="B139:B140"/>
    <mergeCell ref="C139:C140"/>
    <mergeCell ref="D139:D140"/>
    <mergeCell ref="E139:E140"/>
    <mergeCell ref="F139:F140"/>
    <mergeCell ref="G137:G138"/>
    <mergeCell ref="M137:M138"/>
    <mergeCell ref="N137:N138"/>
    <mergeCell ref="O137:O138"/>
    <mergeCell ref="Q137:Q138"/>
    <mergeCell ref="R137:R138"/>
    <mergeCell ref="S143:S144"/>
    <mergeCell ref="T143:T144"/>
    <mergeCell ref="U143:U144"/>
    <mergeCell ref="V143:V144"/>
    <mergeCell ref="A145:A146"/>
    <mergeCell ref="B145:B146"/>
    <mergeCell ref="C145:C146"/>
    <mergeCell ref="D145:D146"/>
    <mergeCell ref="E145:E146"/>
    <mergeCell ref="F145:F146"/>
    <mergeCell ref="G143:G144"/>
    <mergeCell ref="M143:M144"/>
    <mergeCell ref="N143:N144"/>
    <mergeCell ref="O143:O144"/>
    <mergeCell ref="Q143:Q144"/>
    <mergeCell ref="R143:R144"/>
    <mergeCell ref="S141:S142"/>
    <mergeCell ref="T141:T142"/>
    <mergeCell ref="U141:U142"/>
    <mergeCell ref="V141:V142"/>
    <mergeCell ref="A143:A144"/>
    <mergeCell ref="B143:B144"/>
    <mergeCell ref="C143:C144"/>
    <mergeCell ref="D143:D144"/>
    <mergeCell ref="E143:E144"/>
    <mergeCell ref="F143:F144"/>
    <mergeCell ref="G141:G142"/>
    <mergeCell ref="M141:M142"/>
    <mergeCell ref="N141:N142"/>
    <mergeCell ref="O141:O142"/>
    <mergeCell ref="Q141:Q142"/>
    <mergeCell ref="R141:R142"/>
    <mergeCell ref="S147:S148"/>
    <mergeCell ref="T147:T148"/>
    <mergeCell ref="U147:U148"/>
    <mergeCell ref="V147:V148"/>
    <mergeCell ref="A149:A150"/>
    <mergeCell ref="B149:B150"/>
    <mergeCell ref="C149:C150"/>
    <mergeCell ref="D149:D150"/>
    <mergeCell ref="E149:E150"/>
    <mergeCell ref="F149:F150"/>
    <mergeCell ref="G147:G148"/>
    <mergeCell ref="M147:M148"/>
    <mergeCell ref="N147:N148"/>
    <mergeCell ref="O147:O148"/>
    <mergeCell ref="Q147:Q148"/>
    <mergeCell ref="R147:R148"/>
    <mergeCell ref="S145:S146"/>
    <mergeCell ref="T145:T146"/>
    <mergeCell ref="U145:U146"/>
    <mergeCell ref="V145:V146"/>
    <mergeCell ref="A147:A148"/>
    <mergeCell ref="B147:B148"/>
    <mergeCell ref="C147:C148"/>
    <mergeCell ref="D147:D148"/>
    <mergeCell ref="E147:E148"/>
    <mergeCell ref="F147:F148"/>
    <mergeCell ref="G145:G146"/>
    <mergeCell ref="M145:M146"/>
    <mergeCell ref="N145:N146"/>
    <mergeCell ref="O145:O146"/>
    <mergeCell ref="Q145:Q146"/>
    <mergeCell ref="R145:R146"/>
    <mergeCell ref="S151:S152"/>
    <mergeCell ref="T151:T152"/>
    <mergeCell ref="U151:U152"/>
    <mergeCell ref="V151:V152"/>
    <mergeCell ref="A153:A154"/>
    <mergeCell ref="B153:B154"/>
    <mergeCell ref="C153:C154"/>
    <mergeCell ref="D153:D154"/>
    <mergeCell ref="E153:E154"/>
    <mergeCell ref="F153:F154"/>
    <mergeCell ref="G151:G152"/>
    <mergeCell ref="M151:M152"/>
    <mergeCell ref="N151:N152"/>
    <mergeCell ref="O151:O152"/>
    <mergeCell ref="Q151:Q152"/>
    <mergeCell ref="R151:R152"/>
    <mergeCell ref="S149:S150"/>
    <mergeCell ref="T149:T150"/>
    <mergeCell ref="U149:U150"/>
    <mergeCell ref="V149:V150"/>
    <mergeCell ref="A151:A152"/>
    <mergeCell ref="B151:B152"/>
    <mergeCell ref="C151:C152"/>
    <mergeCell ref="D151:D152"/>
    <mergeCell ref="E151:E152"/>
    <mergeCell ref="F151:F152"/>
    <mergeCell ref="G149:G150"/>
    <mergeCell ref="M149:M150"/>
    <mergeCell ref="N149:N150"/>
    <mergeCell ref="O149:O150"/>
    <mergeCell ref="Q149:Q150"/>
    <mergeCell ref="R149:R150"/>
    <mergeCell ref="S155:S156"/>
    <mergeCell ref="T155:T156"/>
    <mergeCell ref="U155:U156"/>
    <mergeCell ref="V155:V156"/>
    <mergeCell ref="A157:A158"/>
    <mergeCell ref="B157:B158"/>
    <mergeCell ref="C157:C158"/>
    <mergeCell ref="D157:D158"/>
    <mergeCell ref="E157:E158"/>
    <mergeCell ref="F157:F158"/>
    <mergeCell ref="G155:G156"/>
    <mergeCell ref="M155:M156"/>
    <mergeCell ref="N155:N156"/>
    <mergeCell ref="O155:O156"/>
    <mergeCell ref="Q155:Q156"/>
    <mergeCell ref="R155:R156"/>
    <mergeCell ref="S153:S154"/>
    <mergeCell ref="T153:T154"/>
    <mergeCell ref="U153:U154"/>
    <mergeCell ref="V153:V154"/>
    <mergeCell ref="A155:A156"/>
    <mergeCell ref="B155:B156"/>
    <mergeCell ref="C155:C156"/>
    <mergeCell ref="D155:D156"/>
    <mergeCell ref="E155:E156"/>
    <mergeCell ref="F155:F156"/>
    <mergeCell ref="G153:G154"/>
    <mergeCell ref="M153:M154"/>
    <mergeCell ref="N153:N154"/>
    <mergeCell ref="O153:O154"/>
    <mergeCell ref="Q153:Q154"/>
    <mergeCell ref="R153:R154"/>
    <mergeCell ref="S159:S160"/>
    <mergeCell ref="T159:T160"/>
    <mergeCell ref="U159:U160"/>
    <mergeCell ref="V159:V160"/>
    <mergeCell ref="A161:A162"/>
    <mergeCell ref="B161:B162"/>
    <mergeCell ref="C161:C162"/>
    <mergeCell ref="D161:D162"/>
    <mergeCell ref="E161:E162"/>
    <mergeCell ref="F161:F162"/>
    <mergeCell ref="G159:G160"/>
    <mergeCell ref="M159:M160"/>
    <mergeCell ref="N159:N160"/>
    <mergeCell ref="O159:O160"/>
    <mergeCell ref="Q159:Q160"/>
    <mergeCell ref="R159:R160"/>
    <mergeCell ref="S157:S158"/>
    <mergeCell ref="T157:T158"/>
    <mergeCell ref="U157:U158"/>
    <mergeCell ref="V157:V158"/>
    <mergeCell ref="A159:A160"/>
    <mergeCell ref="B159:B160"/>
    <mergeCell ref="C159:C160"/>
    <mergeCell ref="D159:D160"/>
    <mergeCell ref="E159:E160"/>
    <mergeCell ref="F159:F160"/>
    <mergeCell ref="G157:G158"/>
    <mergeCell ref="M157:M158"/>
    <mergeCell ref="N157:N158"/>
    <mergeCell ref="O157:O158"/>
    <mergeCell ref="Q157:Q158"/>
    <mergeCell ref="R157:R158"/>
    <mergeCell ref="S163:S164"/>
    <mergeCell ref="T163:T164"/>
    <mergeCell ref="U163:U164"/>
    <mergeCell ref="V163:V164"/>
    <mergeCell ref="A165:A166"/>
    <mergeCell ref="B165:B166"/>
    <mergeCell ref="C165:C166"/>
    <mergeCell ref="D165:D166"/>
    <mergeCell ref="E165:E166"/>
    <mergeCell ref="F165:F166"/>
    <mergeCell ref="G163:G164"/>
    <mergeCell ref="M163:M164"/>
    <mergeCell ref="N163:N164"/>
    <mergeCell ref="O163:O164"/>
    <mergeCell ref="Q163:Q164"/>
    <mergeCell ref="R163:R164"/>
    <mergeCell ref="S161:S162"/>
    <mergeCell ref="T161:T162"/>
    <mergeCell ref="U161:U162"/>
    <mergeCell ref="V161:V162"/>
    <mergeCell ref="A163:A164"/>
    <mergeCell ref="B163:B164"/>
    <mergeCell ref="C163:C164"/>
    <mergeCell ref="D163:D164"/>
    <mergeCell ref="E163:E164"/>
    <mergeCell ref="F163:F164"/>
    <mergeCell ref="G161:G162"/>
    <mergeCell ref="M161:M162"/>
    <mergeCell ref="N161:N162"/>
    <mergeCell ref="O161:O162"/>
    <mergeCell ref="Q161:Q162"/>
    <mergeCell ref="R161:R162"/>
    <mergeCell ref="S167:S168"/>
    <mergeCell ref="T167:T168"/>
    <mergeCell ref="U167:U168"/>
    <mergeCell ref="V167:V168"/>
    <mergeCell ref="A169:A170"/>
    <mergeCell ref="B169:B170"/>
    <mergeCell ref="C169:C170"/>
    <mergeCell ref="D169:D170"/>
    <mergeCell ref="E169:E170"/>
    <mergeCell ref="F169:F170"/>
    <mergeCell ref="G167:G168"/>
    <mergeCell ref="M167:M168"/>
    <mergeCell ref="N167:N168"/>
    <mergeCell ref="O167:O168"/>
    <mergeCell ref="Q167:Q168"/>
    <mergeCell ref="R167:R168"/>
    <mergeCell ref="S165:S166"/>
    <mergeCell ref="T165:T166"/>
    <mergeCell ref="U165:U166"/>
    <mergeCell ref="V165:V166"/>
    <mergeCell ref="A167:A168"/>
    <mergeCell ref="B167:B168"/>
    <mergeCell ref="C167:C168"/>
    <mergeCell ref="D167:D168"/>
    <mergeCell ref="E167:E168"/>
    <mergeCell ref="F167:F168"/>
    <mergeCell ref="G165:G166"/>
    <mergeCell ref="M165:M166"/>
    <mergeCell ref="N165:N166"/>
    <mergeCell ref="O165:O166"/>
    <mergeCell ref="Q165:Q166"/>
    <mergeCell ref="R165:R166"/>
    <mergeCell ref="S171:S172"/>
    <mergeCell ref="T171:T172"/>
    <mergeCell ref="U171:U172"/>
    <mergeCell ref="V171:V172"/>
    <mergeCell ref="A173:A174"/>
    <mergeCell ref="B173:B174"/>
    <mergeCell ref="C173:C174"/>
    <mergeCell ref="D173:D174"/>
    <mergeCell ref="E173:E174"/>
    <mergeCell ref="F173:F174"/>
    <mergeCell ref="G171:G172"/>
    <mergeCell ref="M171:M172"/>
    <mergeCell ref="N171:N172"/>
    <mergeCell ref="O171:O172"/>
    <mergeCell ref="Q171:Q172"/>
    <mergeCell ref="R171:R172"/>
    <mergeCell ref="S169:S170"/>
    <mergeCell ref="T169:T170"/>
    <mergeCell ref="U169:U170"/>
    <mergeCell ref="V169:V170"/>
    <mergeCell ref="A171:A172"/>
    <mergeCell ref="B171:B172"/>
    <mergeCell ref="C171:C172"/>
    <mergeCell ref="D171:D172"/>
    <mergeCell ref="E171:E172"/>
    <mergeCell ref="F171:F172"/>
    <mergeCell ref="G169:G170"/>
    <mergeCell ref="M169:M170"/>
    <mergeCell ref="N169:N170"/>
    <mergeCell ref="O169:O170"/>
    <mergeCell ref="Q169:Q170"/>
    <mergeCell ref="R169:R170"/>
    <mergeCell ref="S175:S176"/>
    <mergeCell ref="T175:T176"/>
    <mergeCell ref="U175:U176"/>
    <mergeCell ref="V175:V176"/>
    <mergeCell ref="A177:A178"/>
    <mergeCell ref="B177:B178"/>
    <mergeCell ref="C177:C178"/>
    <mergeCell ref="D177:D178"/>
    <mergeCell ref="E177:E178"/>
    <mergeCell ref="F177:F178"/>
    <mergeCell ref="G175:G176"/>
    <mergeCell ref="M175:M176"/>
    <mergeCell ref="N175:N176"/>
    <mergeCell ref="O175:O176"/>
    <mergeCell ref="Q175:Q176"/>
    <mergeCell ref="R175:R176"/>
    <mergeCell ref="S173:S174"/>
    <mergeCell ref="T173:T174"/>
    <mergeCell ref="U173:U174"/>
    <mergeCell ref="V173:V174"/>
    <mergeCell ref="A175:A176"/>
    <mergeCell ref="B175:B176"/>
    <mergeCell ref="C175:C176"/>
    <mergeCell ref="D175:D176"/>
    <mergeCell ref="E175:E176"/>
    <mergeCell ref="F175:F176"/>
    <mergeCell ref="G173:G174"/>
    <mergeCell ref="M173:M174"/>
    <mergeCell ref="N173:N174"/>
    <mergeCell ref="O173:O174"/>
    <mergeCell ref="Q173:Q174"/>
    <mergeCell ref="R173:R174"/>
    <mergeCell ref="S179:S180"/>
    <mergeCell ref="T179:T180"/>
    <mergeCell ref="U179:U180"/>
    <mergeCell ref="V179:V180"/>
    <mergeCell ref="A181:A182"/>
    <mergeCell ref="B181:B182"/>
    <mergeCell ref="C181:C182"/>
    <mergeCell ref="D181:D182"/>
    <mergeCell ref="E181:E182"/>
    <mergeCell ref="F181:F182"/>
    <mergeCell ref="G179:G180"/>
    <mergeCell ref="M179:M180"/>
    <mergeCell ref="N179:N180"/>
    <mergeCell ref="O179:O180"/>
    <mergeCell ref="Q179:Q180"/>
    <mergeCell ref="R179:R180"/>
    <mergeCell ref="S177:S178"/>
    <mergeCell ref="T177:T178"/>
    <mergeCell ref="U177:U178"/>
    <mergeCell ref="V177:V178"/>
    <mergeCell ref="A179:A180"/>
    <mergeCell ref="B179:B180"/>
    <mergeCell ref="C179:C180"/>
    <mergeCell ref="D179:D180"/>
    <mergeCell ref="E179:E180"/>
    <mergeCell ref="F179:F180"/>
    <mergeCell ref="G177:G178"/>
    <mergeCell ref="M177:M178"/>
    <mergeCell ref="N177:N178"/>
    <mergeCell ref="O177:O178"/>
    <mergeCell ref="Q177:Q178"/>
    <mergeCell ref="R177:R178"/>
    <mergeCell ref="S183:S184"/>
    <mergeCell ref="T183:T184"/>
    <mergeCell ref="U183:U184"/>
    <mergeCell ref="V183:V184"/>
    <mergeCell ref="A185:A186"/>
    <mergeCell ref="B185:B186"/>
    <mergeCell ref="C185:C186"/>
    <mergeCell ref="D185:D186"/>
    <mergeCell ref="E185:E186"/>
    <mergeCell ref="F185:F186"/>
    <mergeCell ref="G183:G184"/>
    <mergeCell ref="M183:M184"/>
    <mergeCell ref="N183:N184"/>
    <mergeCell ref="O183:O184"/>
    <mergeCell ref="Q183:Q184"/>
    <mergeCell ref="R183:R184"/>
    <mergeCell ref="S181:S182"/>
    <mergeCell ref="T181:T182"/>
    <mergeCell ref="U181:U182"/>
    <mergeCell ref="V181:V182"/>
    <mergeCell ref="A183:A184"/>
    <mergeCell ref="B183:B184"/>
    <mergeCell ref="C183:C184"/>
    <mergeCell ref="D183:D184"/>
    <mergeCell ref="E183:E184"/>
    <mergeCell ref="F183:F184"/>
    <mergeCell ref="G181:G182"/>
    <mergeCell ref="M181:M182"/>
    <mergeCell ref="N181:N182"/>
    <mergeCell ref="O181:O182"/>
    <mergeCell ref="Q181:Q182"/>
    <mergeCell ref="R181:R182"/>
    <mergeCell ref="S187:S188"/>
    <mergeCell ref="T187:T188"/>
    <mergeCell ref="U187:U188"/>
    <mergeCell ref="V187:V188"/>
    <mergeCell ref="A189:A190"/>
    <mergeCell ref="B189:B190"/>
    <mergeCell ref="C189:C190"/>
    <mergeCell ref="D189:D190"/>
    <mergeCell ref="E189:E190"/>
    <mergeCell ref="F189:F190"/>
    <mergeCell ref="G187:G188"/>
    <mergeCell ref="M187:M188"/>
    <mergeCell ref="N187:N188"/>
    <mergeCell ref="O187:O188"/>
    <mergeCell ref="Q187:Q188"/>
    <mergeCell ref="R187:R188"/>
    <mergeCell ref="S185:S186"/>
    <mergeCell ref="T185:T186"/>
    <mergeCell ref="U185:U186"/>
    <mergeCell ref="V185:V186"/>
    <mergeCell ref="A187:A188"/>
    <mergeCell ref="B187:B188"/>
    <mergeCell ref="C187:C188"/>
    <mergeCell ref="D187:D188"/>
    <mergeCell ref="E187:E188"/>
    <mergeCell ref="F187:F188"/>
    <mergeCell ref="G185:G186"/>
    <mergeCell ref="M185:M186"/>
    <mergeCell ref="N185:N186"/>
    <mergeCell ref="O185:O186"/>
    <mergeCell ref="Q185:Q186"/>
    <mergeCell ref="R185:R186"/>
    <mergeCell ref="S191:S192"/>
    <mergeCell ref="T191:T192"/>
    <mergeCell ref="U191:U192"/>
    <mergeCell ref="V191:V192"/>
    <mergeCell ref="A193:A194"/>
    <mergeCell ref="B193:B194"/>
    <mergeCell ref="C193:C194"/>
    <mergeCell ref="D193:D194"/>
    <mergeCell ref="E193:E194"/>
    <mergeCell ref="F193:F194"/>
    <mergeCell ref="G191:G192"/>
    <mergeCell ref="M191:M192"/>
    <mergeCell ref="N191:N192"/>
    <mergeCell ref="O191:O192"/>
    <mergeCell ref="Q191:Q192"/>
    <mergeCell ref="R191:R192"/>
    <mergeCell ref="S189:S190"/>
    <mergeCell ref="T189:T190"/>
    <mergeCell ref="U189:U190"/>
    <mergeCell ref="V189:V190"/>
    <mergeCell ref="A191:A192"/>
    <mergeCell ref="B191:B192"/>
    <mergeCell ref="C191:C192"/>
    <mergeCell ref="D191:D192"/>
    <mergeCell ref="E191:E192"/>
    <mergeCell ref="F191:F192"/>
    <mergeCell ref="G189:G190"/>
    <mergeCell ref="M189:M190"/>
    <mergeCell ref="N189:N190"/>
    <mergeCell ref="O189:O190"/>
    <mergeCell ref="Q189:Q190"/>
    <mergeCell ref="R189:R190"/>
    <mergeCell ref="S195:S196"/>
    <mergeCell ref="T195:T196"/>
    <mergeCell ref="U195:U196"/>
    <mergeCell ref="V195:V196"/>
    <mergeCell ref="A197:A198"/>
    <mergeCell ref="B197:B198"/>
    <mergeCell ref="C197:C198"/>
    <mergeCell ref="D197:D198"/>
    <mergeCell ref="E197:E198"/>
    <mergeCell ref="F197:F198"/>
    <mergeCell ref="G195:G196"/>
    <mergeCell ref="M195:M196"/>
    <mergeCell ref="N195:N196"/>
    <mergeCell ref="O195:O196"/>
    <mergeCell ref="Q195:Q196"/>
    <mergeCell ref="R195:R196"/>
    <mergeCell ref="S193:S194"/>
    <mergeCell ref="T193:T194"/>
    <mergeCell ref="U193:U194"/>
    <mergeCell ref="V193:V194"/>
    <mergeCell ref="A195:A196"/>
    <mergeCell ref="B195:B196"/>
    <mergeCell ref="C195:C196"/>
    <mergeCell ref="D195:D196"/>
    <mergeCell ref="E195:E196"/>
    <mergeCell ref="F195:F196"/>
    <mergeCell ref="G193:G194"/>
    <mergeCell ref="M193:M194"/>
    <mergeCell ref="N193:N194"/>
    <mergeCell ref="O193:O194"/>
    <mergeCell ref="Q193:Q194"/>
    <mergeCell ref="R193:R194"/>
    <mergeCell ref="S199:S200"/>
    <mergeCell ref="T199:T200"/>
    <mergeCell ref="U199:U200"/>
    <mergeCell ref="V199:V200"/>
    <mergeCell ref="A201:A202"/>
    <mergeCell ref="B201:B202"/>
    <mergeCell ref="C201:C202"/>
    <mergeCell ref="D201:D202"/>
    <mergeCell ref="E201:E202"/>
    <mergeCell ref="F201:F202"/>
    <mergeCell ref="G199:G200"/>
    <mergeCell ref="M199:M200"/>
    <mergeCell ref="N199:N200"/>
    <mergeCell ref="O199:O200"/>
    <mergeCell ref="Q199:Q200"/>
    <mergeCell ref="R199:R200"/>
    <mergeCell ref="S197:S198"/>
    <mergeCell ref="T197:T198"/>
    <mergeCell ref="U197:U198"/>
    <mergeCell ref="V197:V198"/>
    <mergeCell ref="A199:A200"/>
    <mergeCell ref="B199:B200"/>
    <mergeCell ref="C199:C200"/>
    <mergeCell ref="D199:D200"/>
    <mergeCell ref="E199:E200"/>
    <mergeCell ref="F199:F200"/>
    <mergeCell ref="G197:G198"/>
    <mergeCell ref="M197:M198"/>
    <mergeCell ref="N197:N198"/>
    <mergeCell ref="O197:O198"/>
    <mergeCell ref="Q197:Q198"/>
    <mergeCell ref="R197:R198"/>
    <mergeCell ref="S203:S204"/>
    <mergeCell ref="T203:T204"/>
    <mergeCell ref="U203:U204"/>
    <mergeCell ref="V203:V204"/>
    <mergeCell ref="A205:A206"/>
    <mergeCell ref="B205:B206"/>
    <mergeCell ref="C205:C206"/>
    <mergeCell ref="D205:D206"/>
    <mergeCell ref="E205:E206"/>
    <mergeCell ref="F205:F206"/>
    <mergeCell ref="G203:G204"/>
    <mergeCell ref="M203:M204"/>
    <mergeCell ref="N203:N204"/>
    <mergeCell ref="O203:O204"/>
    <mergeCell ref="Q203:Q204"/>
    <mergeCell ref="R203:R204"/>
    <mergeCell ref="S201:S202"/>
    <mergeCell ref="T201:T202"/>
    <mergeCell ref="U201:U202"/>
    <mergeCell ref="V201:V202"/>
    <mergeCell ref="A203:A204"/>
    <mergeCell ref="B203:B204"/>
    <mergeCell ref="C203:C204"/>
    <mergeCell ref="D203:D204"/>
    <mergeCell ref="E203:E204"/>
    <mergeCell ref="F203:F204"/>
    <mergeCell ref="G201:G202"/>
    <mergeCell ref="M201:M202"/>
    <mergeCell ref="N201:N202"/>
    <mergeCell ref="O201:O202"/>
    <mergeCell ref="Q201:Q202"/>
    <mergeCell ref="R201:R202"/>
    <mergeCell ref="S207:S208"/>
    <mergeCell ref="T207:T208"/>
    <mergeCell ref="U207:U208"/>
    <mergeCell ref="V207:V208"/>
    <mergeCell ref="A209:A210"/>
    <mergeCell ref="B209:B210"/>
    <mergeCell ref="C209:C210"/>
    <mergeCell ref="D209:D210"/>
    <mergeCell ref="E209:E210"/>
    <mergeCell ref="F209:F210"/>
    <mergeCell ref="G207:G208"/>
    <mergeCell ref="M207:M208"/>
    <mergeCell ref="N207:N208"/>
    <mergeCell ref="O207:O208"/>
    <mergeCell ref="Q207:Q208"/>
    <mergeCell ref="R207:R208"/>
    <mergeCell ref="S205:S206"/>
    <mergeCell ref="T205:T206"/>
    <mergeCell ref="U205:U206"/>
    <mergeCell ref="V205:V206"/>
    <mergeCell ref="A207:A208"/>
    <mergeCell ref="B207:B208"/>
    <mergeCell ref="C207:C208"/>
    <mergeCell ref="D207:D208"/>
    <mergeCell ref="E207:E208"/>
    <mergeCell ref="F207:F208"/>
    <mergeCell ref="G205:G206"/>
    <mergeCell ref="M205:M206"/>
    <mergeCell ref="N205:N206"/>
    <mergeCell ref="O205:O206"/>
    <mergeCell ref="Q205:Q206"/>
    <mergeCell ref="R205:R206"/>
    <mergeCell ref="S211:S212"/>
    <mergeCell ref="T211:T212"/>
    <mergeCell ref="U211:U212"/>
    <mergeCell ref="V211:V212"/>
    <mergeCell ref="A213:A214"/>
    <mergeCell ref="B213:B214"/>
    <mergeCell ref="C213:C214"/>
    <mergeCell ref="D213:D214"/>
    <mergeCell ref="E213:E214"/>
    <mergeCell ref="F213:F214"/>
    <mergeCell ref="G211:G212"/>
    <mergeCell ref="M211:M212"/>
    <mergeCell ref="N211:N212"/>
    <mergeCell ref="O211:O212"/>
    <mergeCell ref="Q211:Q212"/>
    <mergeCell ref="R211:R212"/>
    <mergeCell ref="S209:S210"/>
    <mergeCell ref="T209:T210"/>
    <mergeCell ref="U209:U210"/>
    <mergeCell ref="V209:V210"/>
    <mergeCell ref="A211:A212"/>
    <mergeCell ref="B211:B212"/>
    <mergeCell ref="C211:C212"/>
    <mergeCell ref="D211:D212"/>
    <mergeCell ref="E211:E212"/>
    <mergeCell ref="F211:F212"/>
    <mergeCell ref="G209:G210"/>
    <mergeCell ref="M209:M210"/>
    <mergeCell ref="N209:N210"/>
    <mergeCell ref="O209:O210"/>
    <mergeCell ref="Q209:Q210"/>
    <mergeCell ref="R209:R210"/>
    <mergeCell ref="S215:S216"/>
    <mergeCell ref="T215:T216"/>
    <mergeCell ref="U215:U216"/>
    <mergeCell ref="V215:V216"/>
    <mergeCell ref="A217:A218"/>
    <mergeCell ref="B217:B218"/>
    <mergeCell ref="C217:C218"/>
    <mergeCell ref="D217:D218"/>
    <mergeCell ref="E217:E218"/>
    <mergeCell ref="F217:F218"/>
    <mergeCell ref="G215:G216"/>
    <mergeCell ref="M215:M216"/>
    <mergeCell ref="N215:N216"/>
    <mergeCell ref="O215:O216"/>
    <mergeCell ref="Q215:Q216"/>
    <mergeCell ref="R215:R216"/>
    <mergeCell ref="S213:S214"/>
    <mergeCell ref="T213:T214"/>
    <mergeCell ref="U213:U214"/>
    <mergeCell ref="V213:V214"/>
    <mergeCell ref="A215:A216"/>
    <mergeCell ref="B215:B216"/>
    <mergeCell ref="C215:C216"/>
    <mergeCell ref="D215:D216"/>
    <mergeCell ref="E215:E216"/>
    <mergeCell ref="F215:F216"/>
    <mergeCell ref="G213:G214"/>
    <mergeCell ref="M213:M214"/>
    <mergeCell ref="N213:N214"/>
    <mergeCell ref="O213:O214"/>
    <mergeCell ref="Q213:Q214"/>
    <mergeCell ref="R213:R214"/>
    <mergeCell ref="S219:S220"/>
    <mergeCell ref="T219:T220"/>
    <mergeCell ref="U219:U220"/>
    <mergeCell ref="V219:V220"/>
    <mergeCell ref="A221:A222"/>
    <mergeCell ref="B221:B222"/>
    <mergeCell ref="C221:C222"/>
    <mergeCell ref="D221:D222"/>
    <mergeCell ref="E221:E222"/>
    <mergeCell ref="F221:F222"/>
    <mergeCell ref="G219:G220"/>
    <mergeCell ref="M219:M220"/>
    <mergeCell ref="N219:N220"/>
    <mergeCell ref="O219:O220"/>
    <mergeCell ref="Q219:Q220"/>
    <mergeCell ref="R219:R220"/>
    <mergeCell ref="S217:S218"/>
    <mergeCell ref="T217:T218"/>
    <mergeCell ref="U217:U218"/>
    <mergeCell ref="V217:V218"/>
    <mergeCell ref="A219:A220"/>
    <mergeCell ref="B219:B220"/>
    <mergeCell ref="C219:C220"/>
    <mergeCell ref="D219:D220"/>
    <mergeCell ref="E219:E220"/>
    <mergeCell ref="F219:F220"/>
    <mergeCell ref="G217:G218"/>
    <mergeCell ref="M217:M218"/>
    <mergeCell ref="N217:N218"/>
    <mergeCell ref="O217:O218"/>
    <mergeCell ref="Q217:Q218"/>
    <mergeCell ref="R217:R218"/>
    <mergeCell ref="S223:S224"/>
    <mergeCell ref="T223:T224"/>
    <mergeCell ref="U223:U224"/>
    <mergeCell ref="V223:V224"/>
    <mergeCell ref="A225:A226"/>
    <mergeCell ref="B225:B226"/>
    <mergeCell ref="C225:C226"/>
    <mergeCell ref="D225:D226"/>
    <mergeCell ref="E225:E226"/>
    <mergeCell ref="F225:F226"/>
    <mergeCell ref="G223:G224"/>
    <mergeCell ref="M223:M224"/>
    <mergeCell ref="N223:N224"/>
    <mergeCell ref="O223:O224"/>
    <mergeCell ref="Q223:Q224"/>
    <mergeCell ref="R223:R224"/>
    <mergeCell ref="S221:S222"/>
    <mergeCell ref="T221:T222"/>
    <mergeCell ref="U221:U222"/>
    <mergeCell ref="V221:V222"/>
    <mergeCell ref="A223:A224"/>
    <mergeCell ref="B223:B224"/>
    <mergeCell ref="C223:C224"/>
    <mergeCell ref="D223:D224"/>
    <mergeCell ref="E223:E224"/>
    <mergeCell ref="F223:F224"/>
    <mergeCell ref="G221:G222"/>
    <mergeCell ref="M221:M222"/>
    <mergeCell ref="N221:N222"/>
    <mergeCell ref="O221:O222"/>
    <mergeCell ref="Q221:Q222"/>
    <mergeCell ref="R221:R222"/>
    <mergeCell ref="S227:S228"/>
    <mergeCell ref="T227:T228"/>
    <mergeCell ref="U227:U228"/>
    <mergeCell ref="V227:V228"/>
    <mergeCell ref="A229:A230"/>
    <mergeCell ref="B229:B230"/>
    <mergeCell ref="C229:C230"/>
    <mergeCell ref="D229:D230"/>
    <mergeCell ref="E229:E230"/>
    <mergeCell ref="F229:F230"/>
    <mergeCell ref="G227:G228"/>
    <mergeCell ref="M227:M228"/>
    <mergeCell ref="N227:N228"/>
    <mergeCell ref="O227:O228"/>
    <mergeCell ref="Q227:Q228"/>
    <mergeCell ref="R227:R228"/>
    <mergeCell ref="S225:S226"/>
    <mergeCell ref="T225:T226"/>
    <mergeCell ref="U225:U226"/>
    <mergeCell ref="V225:V226"/>
    <mergeCell ref="A227:A228"/>
    <mergeCell ref="B227:B228"/>
    <mergeCell ref="C227:C228"/>
    <mergeCell ref="D227:D228"/>
    <mergeCell ref="E227:E228"/>
    <mergeCell ref="F227:F228"/>
    <mergeCell ref="G225:G226"/>
    <mergeCell ref="M225:M226"/>
    <mergeCell ref="N225:N226"/>
    <mergeCell ref="O225:O226"/>
    <mergeCell ref="Q225:Q226"/>
    <mergeCell ref="R225:R226"/>
    <mergeCell ref="S231:S232"/>
    <mergeCell ref="T231:T232"/>
    <mergeCell ref="U231:U232"/>
    <mergeCell ref="V231:V232"/>
    <mergeCell ref="A233:A234"/>
    <mergeCell ref="B233:B234"/>
    <mergeCell ref="C233:C234"/>
    <mergeCell ref="D233:D234"/>
    <mergeCell ref="E233:E234"/>
    <mergeCell ref="F233:F234"/>
    <mergeCell ref="G231:G232"/>
    <mergeCell ref="M231:M232"/>
    <mergeCell ref="N231:N232"/>
    <mergeCell ref="O231:O232"/>
    <mergeCell ref="Q231:Q232"/>
    <mergeCell ref="R231:R232"/>
    <mergeCell ref="S229:S230"/>
    <mergeCell ref="T229:T230"/>
    <mergeCell ref="U229:U230"/>
    <mergeCell ref="V229:V230"/>
    <mergeCell ref="A231:A232"/>
    <mergeCell ref="B231:B232"/>
    <mergeCell ref="C231:C232"/>
    <mergeCell ref="D231:D232"/>
    <mergeCell ref="E231:E232"/>
    <mergeCell ref="F231:F232"/>
    <mergeCell ref="G229:G230"/>
    <mergeCell ref="M229:M230"/>
    <mergeCell ref="N229:N230"/>
    <mergeCell ref="O229:O230"/>
    <mergeCell ref="Q229:Q230"/>
    <mergeCell ref="R229:R230"/>
    <mergeCell ref="S235:S236"/>
    <mergeCell ref="T235:T236"/>
    <mergeCell ref="U235:U236"/>
    <mergeCell ref="V235:V236"/>
    <mergeCell ref="A237:A238"/>
    <mergeCell ref="B237:B238"/>
    <mergeCell ref="C237:C238"/>
    <mergeCell ref="D237:D238"/>
    <mergeCell ref="E237:E238"/>
    <mergeCell ref="F237:F238"/>
    <mergeCell ref="G235:G236"/>
    <mergeCell ref="M235:M236"/>
    <mergeCell ref="N235:N236"/>
    <mergeCell ref="O235:O236"/>
    <mergeCell ref="Q235:Q236"/>
    <mergeCell ref="R235:R236"/>
    <mergeCell ref="S233:S234"/>
    <mergeCell ref="T233:T234"/>
    <mergeCell ref="U233:U234"/>
    <mergeCell ref="V233:V234"/>
    <mergeCell ref="A235:A236"/>
    <mergeCell ref="B235:B236"/>
    <mergeCell ref="C235:C236"/>
    <mergeCell ref="D235:D236"/>
    <mergeCell ref="E235:E236"/>
    <mergeCell ref="F235:F236"/>
    <mergeCell ref="G233:G234"/>
    <mergeCell ref="M233:M234"/>
    <mergeCell ref="N233:N234"/>
    <mergeCell ref="O233:O234"/>
    <mergeCell ref="Q233:Q234"/>
    <mergeCell ref="R233:R234"/>
    <mergeCell ref="S239:S240"/>
    <mergeCell ref="T239:T240"/>
    <mergeCell ref="U239:U240"/>
    <mergeCell ref="V239:V240"/>
    <mergeCell ref="A241:A242"/>
    <mergeCell ref="B241:B242"/>
    <mergeCell ref="C241:C242"/>
    <mergeCell ref="D241:D242"/>
    <mergeCell ref="E241:E242"/>
    <mergeCell ref="F241:F242"/>
    <mergeCell ref="G239:G240"/>
    <mergeCell ref="M239:M240"/>
    <mergeCell ref="N239:N240"/>
    <mergeCell ref="O239:O240"/>
    <mergeCell ref="Q239:Q240"/>
    <mergeCell ref="R239:R240"/>
    <mergeCell ref="S237:S238"/>
    <mergeCell ref="T237:T238"/>
    <mergeCell ref="U237:U238"/>
    <mergeCell ref="V237:V238"/>
    <mergeCell ref="A239:A240"/>
    <mergeCell ref="B239:B240"/>
    <mergeCell ref="C239:C240"/>
    <mergeCell ref="D239:D240"/>
    <mergeCell ref="E239:E240"/>
    <mergeCell ref="F239:F240"/>
    <mergeCell ref="G237:G238"/>
    <mergeCell ref="M237:M238"/>
    <mergeCell ref="N237:N238"/>
    <mergeCell ref="O237:O238"/>
    <mergeCell ref="Q237:Q238"/>
    <mergeCell ref="R237:R238"/>
    <mergeCell ref="S243:S244"/>
    <mergeCell ref="T243:T244"/>
    <mergeCell ref="U243:U244"/>
    <mergeCell ref="V243:V244"/>
    <mergeCell ref="A245:A246"/>
    <mergeCell ref="B245:B246"/>
    <mergeCell ref="C245:C246"/>
    <mergeCell ref="D245:D246"/>
    <mergeCell ref="E245:E246"/>
    <mergeCell ref="F245:F246"/>
    <mergeCell ref="G243:G244"/>
    <mergeCell ref="M243:M244"/>
    <mergeCell ref="N243:N244"/>
    <mergeCell ref="O243:O244"/>
    <mergeCell ref="Q243:Q244"/>
    <mergeCell ref="R243:R244"/>
    <mergeCell ref="S241:S242"/>
    <mergeCell ref="T241:T242"/>
    <mergeCell ref="U241:U242"/>
    <mergeCell ref="V241:V242"/>
    <mergeCell ref="A243:A244"/>
    <mergeCell ref="B243:B244"/>
    <mergeCell ref="C243:C244"/>
    <mergeCell ref="D243:D244"/>
    <mergeCell ref="E243:E244"/>
    <mergeCell ref="F243:F244"/>
    <mergeCell ref="G241:G242"/>
    <mergeCell ref="M241:M242"/>
    <mergeCell ref="N241:N242"/>
    <mergeCell ref="O241:O242"/>
    <mergeCell ref="Q241:Q242"/>
    <mergeCell ref="R241:R242"/>
    <mergeCell ref="S247:S248"/>
    <mergeCell ref="T247:T248"/>
    <mergeCell ref="U247:U248"/>
    <mergeCell ref="V247:V248"/>
    <mergeCell ref="A249:A250"/>
    <mergeCell ref="B249:B250"/>
    <mergeCell ref="C249:C250"/>
    <mergeCell ref="D249:D250"/>
    <mergeCell ref="E249:E250"/>
    <mergeCell ref="F249:F250"/>
    <mergeCell ref="G247:G248"/>
    <mergeCell ref="M247:M248"/>
    <mergeCell ref="N247:N248"/>
    <mergeCell ref="O247:O248"/>
    <mergeCell ref="Q247:Q248"/>
    <mergeCell ref="R247:R248"/>
    <mergeCell ref="S245:S246"/>
    <mergeCell ref="T245:T246"/>
    <mergeCell ref="U245:U246"/>
    <mergeCell ref="V245:V246"/>
    <mergeCell ref="A247:A248"/>
    <mergeCell ref="B247:B248"/>
    <mergeCell ref="C247:C248"/>
    <mergeCell ref="D247:D248"/>
    <mergeCell ref="E247:E248"/>
    <mergeCell ref="F247:F248"/>
    <mergeCell ref="G245:G246"/>
    <mergeCell ref="M245:M246"/>
    <mergeCell ref="N245:N246"/>
    <mergeCell ref="O245:O246"/>
    <mergeCell ref="Q245:Q246"/>
    <mergeCell ref="R245:R246"/>
    <mergeCell ref="S251:S252"/>
    <mergeCell ref="T251:T252"/>
    <mergeCell ref="U251:U252"/>
    <mergeCell ref="V251:V252"/>
    <mergeCell ref="A253:A254"/>
    <mergeCell ref="B253:B254"/>
    <mergeCell ref="C253:C254"/>
    <mergeCell ref="D253:D254"/>
    <mergeCell ref="E253:E254"/>
    <mergeCell ref="F253:F254"/>
    <mergeCell ref="G251:G252"/>
    <mergeCell ref="M251:M252"/>
    <mergeCell ref="N251:N252"/>
    <mergeCell ref="O251:O252"/>
    <mergeCell ref="Q251:Q252"/>
    <mergeCell ref="R251:R252"/>
    <mergeCell ref="S249:S250"/>
    <mergeCell ref="T249:T250"/>
    <mergeCell ref="U249:U250"/>
    <mergeCell ref="V249:V250"/>
    <mergeCell ref="A251:A252"/>
    <mergeCell ref="B251:B252"/>
    <mergeCell ref="C251:C252"/>
    <mergeCell ref="D251:D252"/>
    <mergeCell ref="E251:E252"/>
    <mergeCell ref="F251:F252"/>
    <mergeCell ref="G249:G250"/>
    <mergeCell ref="M249:M250"/>
    <mergeCell ref="N249:N250"/>
    <mergeCell ref="O249:O250"/>
    <mergeCell ref="Q249:Q250"/>
    <mergeCell ref="R249:R250"/>
    <mergeCell ref="S255:S256"/>
    <mergeCell ref="T255:T256"/>
    <mergeCell ref="U255:U256"/>
    <mergeCell ref="V255:V256"/>
    <mergeCell ref="A257:A258"/>
    <mergeCell ref="B257:B258"/>
    <mergeCell ref="C257:C258"/>
    <mergeCell ref="D257:D258"/>
    <mergeCell ref="E257:E258"/>
    <mergeCell ref="F257:F258"/>
    <mergeCell ref="G255:G256"/>
    <mergeCell ref="M255:M256"/>
    <mergeCell ref="N255:N256"/>
    <mergeCell ref="O255:O256"/>
    <mergeCell ref="Q255:Q256"/>
    <mergeCell ref="R255:R256"/>
    <mergeCell ref="S253:S254"/>
    <mergeCell ref="T253:T254"/>
    <mergeCell ref="U253:U254"/>
    <mergeCell ref="V253:V254"/>
    <mergeCell ref="A255:A256"/>
    <mergeCell ref="B255:B256"/>
    <mergeCell ref="C255:C256"/>
    <mergeCell ref="D255:D256"/>
    <mergeCell ref="E255:E256"/>
    <mergeCell ref="F255:F256"/>
    <mergeCell ref="G253:G254"/>
    <mergeCell ref="M253:M254"/>
    <mergeCell ref="N253:N254"/>
    <mergeCell ref="O253:O254"/>
    <mergeCell ref="Q253:Q254"/>
    <mergeCell ref="R253:R254"/>
    <mergeCell ref="S259:S260"/>
    <mergeCell ref="T259:T260"/>
    <mergeCell ref="U259:U260"/>
    <mergeCell ref="V259:V260"/>
    <mergeCell ref="A261:A262"/>
    <mergeCell ref="B261:B262"/>
    <mergeCell ref="C261:C262"/>
    <mergeCell ref="D261:D262"/>
    <mergeCell ref="E261:E262"/>
    <mergeCell ref="F261:F262"/>
    <mergeCell ref="G259:G260"/>
    <mergeCell ref="M259:M260"/>
    <mergeCell ref="N259:N260"/>
    <mergeCell ref="O259:O260"/>
    <mergeCell ref="Q259:Q260"/>
    <mergeCell ref="R259:R260"/>
    <mergeCell ref="S257:S258"/>
    <mergeCell ref="T257:T258"/>
    <mergeCell ref="U257:U258"/>
    <mergeCell ref="V257:V258"/>
    <mergeCell ref="A259:A260"/>
    <mergeCell ref="B259:B260"/>
    <mergeCell ref="C259:C260"/>
    <mergeCell ref="D259:D260"/>
    <mergeCell ref="E259:E260"/>
    <mergeCell ref="F259:F260"/>
    <mergeCell ref="G257:G258"/>
    <mergeCell ref="M257:M258"/>
    <mergeCell ref="N257:N258"/>
    <mergeCell ref="O257:O258"/>
    <mergeCell ref="Q257:Q258"/>
    <mergeCell ref="R257:R258"/>
    <mergeCell ref="S263:S264"/>
    <mergeCell ref="T263:T264"/>
    <mergeCell ref="U263:U264"/>
    <mergeCell ref="V263:V264"/>
    <mergeCell ref="A265:A266"/>
    <mergeCell ref="B265:B266"/>
    <mergeCell ref="C265:C266"/>
    <mergeCell ref="D265:D266"/>
    <mergeCell ref="E265:E266"/>
    <mergeCell ref="F265:F266"/>
    <mergeCell ref="G263:G264"/>
    <mergeCell ref="M263:M264"/>
    <mergeCell ref="N263:N264"/>
    <mergeCell ref="O263:O264"/>
    <mergeCell ref="Q263:Q264"/>
    <mergeCell ref="R263:R264"/>
    <mergeCell ref="S261:S262"/>
    <mergeCell ref="T261:T262"/>
    <mergeCell ref="U261:U262"/>
    <mergeCell ref="V261:V262"/>
    <mergeCell ref="A263:A264"/>
    <mergeCell ref="B263:B264"/>
    <mergeCell ref="C263:C264"/>
    <mergeCell ref="D263:D264"/>
    <mergeCell ref="E263:E264"/>
    <mergeCell ref="F263:F264"/>
    <mergeCell ref="G261:G262"/>
    <mergeCell ref="M261:M262"/>
    <mergeCell ref="N261:N262"/>
    <mergeCell ref="O261:O262"/>
    <mergeCell ref="Q261:Q262"/>
    <mergeCell ref="R261:R262"/>
    <mergeCell ref="S267:S268"/>
    <mergeCell ref="T267:T268"/>
    <mergeCell ref="U267:U268"/>
    <mergeCell ref="V267:V268"/>
    <mergeCell ref="A269:A270"/>
    <mergeCell ref="B269:B270"/>
    <mergeCell ref="C269:C270"/>
    <mergeCell ref="D269:D270"/>
    <mergeCell ref="E269:E270"/>
    <mergeCell ref="F269:F270"/>
    <mergeCell ref="G267:G268"/>
    <mergeCell ref="M267:M268"/>
    <mergeCell ref="N267:N268"/>
    <mergeCell ref="O267:O268"/>
    <mergeCell ref="Q267:Q268"/>
    <mergeCell ref="R267:R268"/>
    <mergeCell ref="S265:S266"/>
    <mergeCell ref="T265:T266"/>
    <mergeCell ref="U265:U266"/>
    <mergeCell ref="V265:V266"/>
    <mergeCell ref="A267:A268"/>
    <mergeCell ref="B267:B268"/>
    <mergeCell ref="C267:C268"/>
    <mergeCell ref="D267:D268"/>
    <mergeCell ref="E267:E268"/>
    <mergeCell ref="F267:F268"/>
    <mergeCell ref="G265:G266"/>
    <mergeCell ref="M265:M266"/>
    <mergeCell ref="N265:N266"/>
    <mergeCell ref="O265:O266"/>
    <mergeCell ref="Q265:Q266"/>
    <mergeCell ref="R265:R266"/>
    <mergeCell ref="S271:S272"/>
    <mergeCell ref="T271:T272"/>
    <mergeCell ref="U271:U272"/>
    <mergeCell ref="V271:V272"/>
    <mergeCell ref="A273:A274"/>
    <mergeCell ref="B273:B274"/>
    <mergeCell ref="C273:C274"/>
    <mergeCell ref="D273:D274"/>
    <mergeCell ref="E273:E274"/>
    <mergeCell ref="F273:F274"/>
    <mergeCell ref="G271:G272"/>
    <mergeCell ref="M271:M272"/>
    <mergeCell ref="N271:N272"/>
    <mergeCell ref="O271:O272"/>
    <mergeCell ref="Q271:Q272"/>
    <mergeCell ref="R271:R272"/>
    <mergeCell ref="S269:S270"/>
    <mergeCell ref="T269:T270"/>
    <mergeCell ref="U269:U270"/>
    <mergeCell ref="V269:V270"/>
    <mergeCell ref="A271:A272"/>
    <mergeCell ref="B271:B272"/>
    <mergeCell ref="C271:C272"/>
    <mergeCell ref="D271:D272"/>
    <mergeCell ref="E271:E272"/>
    <mergeCell ref="F271:F272"/>
    <mergeCell ref="G269:G270"/>
    <mergeCell ref="M269:M270"/>
    <mergeCell ref="N269:N270"/>
    <mergeCell ref="O269:O270"/>
    <mergeCell ref="Q269:Q270"/>
    <mergeCell ref="R269:R270"/>
    <mergeCell ref="S275:S276"/>
    <mergeCell ref="T275:T276"/>
    <mergeCell ref="U275:U276"/>
    <mergeCell ref="V275:V276"/>
    <mergeCell ref="A277:A278"/>
    <mergeCell ref="B277:B278"/>
    <mergeCell ref="C277:C278"/>
    <mergeCell ref="D277:D278"/>
    <mergeCell ref="E277:E278"/>
    <mergeCell ref="F277:F278"/>
    <mergeCell ref="G275:G276"/>
    <mergeCell ref="M275:M276"/>
    <mergeCell ref="N275:N276"/>
    <mergeCell ref="O275:O276"/>
    <mergeCell ref="Q275:Q276"/>
    <mergeCell ref="R275:R276"/>
    <mergeCell ref="S273:S274"/>
    <mergeCell ref="T273:T274"/>
    <mergeCell ref="U273:U274"/>
    <mergeCell ref="V273:V274"/>
    <mergeCell ref="A275:A276"/>
    <mergeCell ref="B275:B276"/>
    <mergeCell ref="C275:C276"/>
    <mergeCell ref="D275:D276"/>
    <mergeCell ref="E275:E276"/>
    <mergeCell ref="F275:F276"/>
    <mergeCell ref="G273:G274"/>
    <mergeCell ref="M273:M274"/>
    <mergeCell ref="N273:N274"/>
    <mergeCell ref="O273:O274"/>
    <mergeCell ref="Q273:Q274"/>
    <mergeCell ref="R273:R274"/>
    <mergeCell ref="S279:S280"/>
    <mergeCell ref="T279:T280"/>
    <mergeCell ref="U279:U280"/>
    <mergeCell ref="V279:V280"/>
    <mergeCell ref="A281:A282"/>
    <mergeCell ref="B281:B282"/>
    <mergeCell ref="C281:C282"/>
    <mergeCell ref="D281:D282"/>
    <mergeCell ref="E281:E282"/>
    <mergeCell ref="F281:F282"/>
    <mergeCell ref="G279:G280"/>
    <mergeCell ref="M279:M280"/>
    <mergeCell ref="N279:N280"/>
    <mergeCell ref="O279:O280"/>
    <mergeCell ref="Q279:Q280"/>
    <mergeCell ref="R279:R280"/>
    <mergeCell ref="S277:S278"/>
    <mergeCell ref="T277:T278"/>
    <mergeCell ref="U277:U278"/>
    <mergeCell ref="V277:V278"/>
    <mergeCell ref="A279:A280"/>
    <mergeCell ref="B279:B280"/>
    <mergeCell ref="C279:C280"/>
    <mergeCell ref="D279:D280"/>
    <mergeCell ref="E279:E280"/>
    <mergeCell ref="F279:F280"/>
    <mergeCell ref="G277:G278"/>
    <mergeCell ref="M277:M278"/>
    <mergeCell ref="N277:N278"/>
    <mergeCell ref="O277:O278"/>
    <mergeCell ref="Q277:Q278"/>
    <mergeCell ref="R277:R278"/>
    <mergeCell ref="S283:S284"/>
    <mergeCell ref="T283:T284"/>
    <mergeCell ref="U283:U284"/>
    <mergeCell ref="V283:V284"/>
    <mergeCell ref="A285:A286"/>
    <mergeCell ref="B285:B286"/>
    <mergeCell ref="C285:C286"/>
    <mergeCell ref="D285:D286"/>
    <mergeCell ref="E285:E286"/>
    <mergeCell ref="F285:F286"/>
    <mergeCell ref="G283:G284"/>
    <mergeCell ref="M283:M284"/>
    <mergeCell ref="N283:N284"/>
    <mergeCell ref="O283:O284"/>
    <mergeCell ref="Q283:Q284"/>
    <mergeCell ref="R283:R284"/>
    <mergeCell ref="S281:S282"/>
    <mergeCell ref="T281:T282"/>
    <mergeCell ref="U281:U282"/>
    <mergeCell ref="V281:V282"/>
    <mergeCell ref="A283:A284"/>
    <mergeCell ref="B283:B284"/>
    <mergeCell ref="C283:C284"/>
    <mergeCell ref="D283:D284"/>
    <mergeCell ref="E283:E284"/>
    <mergeCell ref="F283:F284"/>
    <mergeCell ref="G281:G282"/>
    <mergeCell ref="M281:M282"/>
    <mergeCell ref="N281:N282"/>
    <mergeCell ref="O281:O282"/>
    <mergeCell ref="Q281:Q282"/>
    <mergeCell ref="R281:R282"/>
    <mergeCell ref="S287:S288"/>
    <mergeCell ref="T287:T288"/>
    <mergeCell ref="U287:U288"/>
    <mergeCell ref="V287:V288"/>
    <mergeCell ref="A289:A290"/>
    <mergeCell ref="B289:B290"/>
    <mergeCell ref="C289:C290"/>
    <mergeCell ref="D289:D290"/>
    <mergeCell ref="E289:E290"/>
    <mergeCell ref="F289:F290"/>
    <mergeCell ref="G287:G288"/>
    <mergeCell ref="M287:M288"/>
    <mergeCell ref="N287:N288"/>
    <mergeCell ref="O287:O288"/>
    <mergeCell ref="Q287:Q288"/>
    <mergeCell ref="R287:R288"/>
    <mergeCell ref="S285:S286"/>
    <mergeCell ref="T285:T286"/>
    <mergeCell ref="U285:U286"/>
    <mergeCell ref="V285:V286"/>
    <mergeCell ref="A287:A288"/>
    <mergeCell ref="B287:B288"/>
    <mergeCell ref="C287:C288"/>
    <mergeCell ref="D287:D288"/>
    <mergeCell ref="E287:E288"/>
    <mergeCell ref="F287:F288"/>
    <mergeCell ref="G285:G286"/>
    <mergeCell ref="M285:M286"/>
    <mergeCell ref="N285:N286"/>
    <mergeCell ref="O285:O286"/>
    <mergeCell ref="Q285:Q286"/>
    <mergeCell ref="R285:R286"/>
    <mergeCell ref="S291:S292"/>
    <mergeCell ref="T291:T292"/>
    <mergeCell ref="U291:U292"/>
    <mergeCell ref="V291:V292"/>
    <mergeCell ref="A293:A294"/>
    <mergeCell ref="B293:B294"/>
    <mergeCell ref="C293:C294"/>
    <mergeCell ref="D293:D294"/>
    <mergeCell ref="E293:E294"/>
    <mergeCell ref="F293:F294"/>
    <mergeCell ref="G291:G292"/>
    <mergeCell ref="M291:M292"/>
    <mergeCell ref="N291:N292"/>
    <mergeCell ref="O291:O292"/>
    <mergeCell ref="Q291:Q292"/>
    <mergeCell ref="R291:R292"/>
    <mergeCell ref="S289:S290"/>
    <mergeCell ref="T289:T290"/>
    <mergeCell ref="U289:U290"/>
    <mergeCell ref="V289:V290"/>
    <mergeCell ref="A291:A292"/>
    <mergeCell ref="B291:B292"/>
    <mergeCell ref="C291:C292"/>
    <mergeCell ref="D291:D292"/>
    <mergeCell ref="E291:E292"/>
    <mergeCell ref="F291:F292"/>
    <mergeCell ref="G289:G290"/>
    <mergeCell ref="M289:M290"/>
    <mergeCell ref="N289:N290"/>
    <mergeCell ref="O289:O290"/>
    <mergeCell ref="Q289:Q290"/>
    <mergeCell ref="R289:R290"/>
    <mergeCell ref="S295:S296"/>
    <mergeCell ref="T295:T296"/>
    <mergeCell ref="U295:U296"/>
    <mergeCell ref="V295:V296"/>
    <mergeCell ref="A297:A298"/>
    <mergeCell ref="B297:B298"/>
    <mergeCell ref="C297:C298"/>
    <mergeCell ref="D297:D298"/>
    <mergeCell ref="E297:E298"/>
    <mergeCell ref="F297:F298"/>
    <mergeCell ref="G295:G296"/>
    <mergeCell ref="M295:M296"/>
    <mergeCell ref="N295:N296"/>
    <mergeCell ref="O295:O296"/>
    <mergeCell ref="Q295:Q296"/>
    <mergeCell ref="R295:R296"/>
    <mergeCell ref="S293:S294"/>
    <mergeCell ref="T293:T294"/>
    <mergeCell ref="U293:U294"/>
    <mergeCell ref="V293:V294"/>
    <mergeCell ref="A295:A296"/>
    <mergeCell ref="B295:B296"/>
    <mergeCell ref="C295:C296"/>
    <mergeCell ref="D295:D296"/>
    <mergeCell ref="E295:E296"/>
    <mergeCell ref="F295:F296"/>
    <mergeCell ref="G293:G294"/>
    <mergeCell ref="M293:M294"/>
    <mergeCell ref="N293:N294"/>
    <mergeCell ref="O293:O294"/>
    <mergeCell ref="Q293:Q294"/>
    <mergeCell ref="R293:R294"/>
    <mergeCell ref="S299:S300"/>
    <mergeCell ref="T299:T300"/>
    <mergeCell ref="U299:U300"/>
    <mergeCell ref="V299:V300"/>
    <mergeCell ref="A301:A302"/>
    <mergeCell ref="B301:B302"/>
    <mergeCell ref="C301:C302"/>
    <mergeCell ref="D301:D302"/>
    <mergeCell ref="E301:E302"/>
    <mergeCell ref="F301:F302"/>
    <mergeCell ref="G299:G300"/>
    <mergeCell ref="M299:M300"/>
    <mergeCell ref="N299:N300"/>
    <mergeCell ref="O299:O300"/>
    <mergeCell ref="Q299:Q300"/>
    <mergeCell ref="R299:R300"/>
    <mergeCell ref="S297:S298"/>
    <mergeCell ref="T297:T298"/>
    <mergeCell ref="U297:U298"/>
    <mergeCell ref="V297:V298"/>
    <mergeCell ref="A299:A300"/>
    <mergeCell ref="B299:B300"/>
    <mergeCell ref="C299:C300"/>
    <mergeCell ref="D299:D300"/>
    <mergeCell ref="E299:E300"/>
    <mergeCell ref="F299:F300"/>
    <mergeCell ref="G297:G298"/>
    <mergeCell ref="M297:M298"/>
    <mergeCell ref="N297:N298"/>
    <mergeCell ref="O297:O298"/>
    <mergeCell ref="Q297:Q298"/>
    <mergeCell ref="R297:R298"/>
    <mergeCell ref="S303:S304"/>
    <mergeCell ref="T303:T304"/>
    <mergeCell ref="U303:U304"/>
    <mergeCell ref="V303:V304"/>
    <mergeCell ref="A305:A306"/>
    <mergeCell ref="B305:B306"/>
    <mergeCell ref="C305:C306"/>
    <mergeCell ref="D305:D306"/>
    <mergeCell ref="E305:E306"/>
    <mergeCell ref="F305:F306"/>
    <mergeCell ref="G303:G304"/>
    <mergeCell ref="M303:M304"/>
    <mergeCell ref="N303:N304"/>
    <mergeCell ref="O303:O304"/>
    <mergeCell ref="Q303:Q304"/>
    <mergeCell ref="R303:R304"/>
    <mergeCell ref="S301:S302"/>
    <mergeCell ref="T301:T302"/>
    <mergeCell ref="U301:U302"/>
    <mergeCell ref="V301:V302"/>
    <mergeCell ref="A303:A304"/>
    <mergeCell ref="B303:B304"/>
    <mergeCell ref="C303:C304"/>
    <mergeCell ref="D303:D304"/>
    <mergeCell ref="E303:E304"/>
    <mergeCell ref="F303:F304"/>
    <mergeCell ref="G301:G302"/>
    <mergeCell ref="M301:M302"/>
    <mergeCell ref="N301:N302"/>
    <mergeCell ref="O301:O302"/>
    <mergeCell ref="Q301:Q302"/>
    <mergeCell ref="R301:R302"/>
    <mergeCell ref="S307:S308"/>
    <mergeCell ref="T307:T308"/>
    <mergeCell ref="U307:U308"/>
    <mergeCell ref="V307:V308"/>
    <mergeCell ref="A309:A310"/>
    <mergeCell ref="B309:B310"/>
    <mergeCell ref="C309:C310"/>
    <mergeCell ref="D309:D310"/>
    <mergeCell ref="E309:E310"/>
    <mergeCell ref="F309:F310"/>
    <mergeCell ref="G307:G308"/>
    <mergeCell ref="M307:M308"/>
    <mergeCell ref="N307:N308"/>
    <mergeCell ref="O307:O308"/>
    <mergeCell ref="Q307:Q308"/>
    <mergeCell ref="R307:R308"/>
    <mergeCell ref="S305:S306"/>
    <mergeCell ref="T305:T306"/>
    <mergeCell ref="U305:U306"/>
    <mergeCell ref="V305:V306"/>
    <mergeCell ref="A307:A308"/>
    <mergeCell ref="B307:B308"/>
    <mergeCell ref="C307:C308"/>
    <mergeCell ref="D307:D308"/>
    <mergeCell ref="E307:E308"/>
    <mergeCell ref="F307:F308"/>
    <mergeCell ref="G305:G306"/>
    <mergeCell ref="M305:M306"/>
    <mergeCell ref="N305:N306"/>
    <mergeCell ref="O305:O306"/>
    <mergeCell ref="Q305:Q306"/>
    <mergeCell ref="R305:R306"/>
    <mergeCell ref="S311:S312"/>
    <mergeCell ref="T311:T312"/>
    <mergeCell ref="U311:U312"/>
    <mergeCell ref="V311:V312"/>
    <mergeCell ref="A313:A314"/>
    <mergeCell ref="B313:B314"/>
    <mergeCell ref="C313:C314"/>
    <mergeCell ref="D313:D314"/>
    <mergeCell ref="E313:E314"/>
    <mergeCell ref="F313:F314"/>
    <mergeCell ref="G311:G312"/>
    <mergeCell ref="M311:M312"/>
    <mergeCell ref="N311:N312"/>
    <mergeCell ref="O311:O312"/>
    <mergeCell ref="Q311:Q312"/>
    <mergeCell ref="R311:R312"/>
    <mergeCell ref="S309:S310"/>
    <mergeCell ref="T309:T310"/>
    <mergeCell ref="U309:U310"/>
    <mergeCell ref="V309:V310"/>
    <mergeCell ref="A311:A312"/>
    <mergeCell ref="B311:B312"/>
    <mergeCell ref="C311:C312"/>
    <mergeCell ref="D311:D312"/>
    <mergeCell ref="E311:E312"/>
    <mergeCell ref="F311:F312"/>
    <mergeCell ref="G309:G310"/>
    <mergeCell ref="M309:M310"/>
    <mergeCell ref="N309:N310"/>
    <mergeCell ref="O309:O310"/>
    <mergeCell ref="Q309:Q310"/>
    <mergeCell ref="R309:R310"/>
    <mergeCell ref="S315:S316"/>
    <mergeCell ref="T315:T316"/>
    <mergeCell ref="U315:U316"/>
    <mergeCell ref="V315:V316"/>
    <mergeCell ref="A317:A318"/>
    <mergeCell ref="B317:B318"/>
    <mergeCell ref="C317:C318"/>
    <mergeCell ref="D317:D318"/>
    <mergeCell ref="E317:E318"/>
    <mergeCell ref="F317:F318"/>
    <mergeCell ref="G315:G316"/>
    <mergeCell ref="M315:M316"/>
    <mergeCell ref="N315:N316"/>
    <mergeCell ref="O315:O316"/>
    <mergeCell ref="Q315:Q316"/>
    <mergeCell ref="R315:R316"/>
    <mergeCell ref="S313:S314"/>
    <mergeCell ref="T313:T314"/>
    <mergeCell ref="U313:U314"/>
    <mergeCell ref="V313:V314"/>
    <mergeCell ref="A315:A316"/>
    <mergeCell ref="B315:B316"/>
    <mergeCell ref="C315:C316"/>
    <mergeCell ref="D315:D316"/>
    <mergeCell ref="E315:E316"/>
    <mergeCell ref="F315:F316"/>
    <mergeCell ref="G313:G314"/>
    <mergeCell ref="M313:M314"/>
    <mergeCell ref="N313:N314"/>
    <mergeCell ref="O313:O314"/>
    <mergeCell ref="Q313:Q314"/>
    <mergeCell ref="R313:R314"/>
    <mergeCell ref="S319:S320"/>
    <mergeCell ref="T319:T320"/>
    <mergeCell ref="U319:U320"/>
    <mergeCell ref="V319:V320"/>
    <mergeCell ref="A321:A322"/>
    <mergeCell ref="B321:B322"/>
    <mergeCell ref="C321:C322"/>
    <mergeCell ref="D321:D322"/>
    <mergeCell ref="E321:E322"/>
    <mergeCell ref="F321:F322"/>
    <mergeCell ref="G319:G320"/>
    <mergeCell ref="M319:M320"/>
    <mergeCell ref="N319:N320"/>
    <mergeCell ref="O319:O320"/>
    <mergeCell ref="Q319:Q320"/>
    <mergeCell ref="R319:R320"/>
    <mergeCell ref="S317:S318"/>
    <mergeCell ref="T317:T318"/>
    <mergeCell ref="U317:U318"/>
    <mergeCell ref="V317:V318"/>
    <mergeCell ref="A319:A320"/>
    <mergeCell ref="B319:B320"/>
    <mergeCell ref="C319:C320"/>
    <mergeCell ref="D319:D320"/>
    <mergeCell ref="E319:E320"/>
    <mergeCell ref="F319:F320"/>
    <mergeCell ref="G317:G318"/>
    <mergeCell ref="M317:M318"/>
    <mergeCell ref="N317:N318"/>
    <mergeCell ref="O317:O318"/>
    <mergeCell ref="Q317:Q318"/>
    <mergeCell ref="R317:R318"/>
    <mergeCell ref="S323:S324"/>
    <mergeCell ref="T323:T324"/>
    <mergeCell ref="U323:U324"/>
    <mergeCell ref="V323:V324"/>
    <mergeCell ref="A325:A326"/>
    <mergeCell ref="B325:B326"/>
    <mergeCell ref="C325:C326"/>
    <mergeCell ref="D325:D326"/>
    <mergeCell ref="E325:E326"/>
    <mergeCell ref="F325:F326"/>
    <mergeCell ref="G323:G324"/>
    <mergeCell ref="M323:M324"/>
    <mergeCell ref="N323:N324"/>
    <mergeCell ref="O323:O324"/>
    <mergeCell ref="Q323:Q324"/>
    <mergeCell ref="R323:R324"/>
    <mergeCell ref="S321:S322"/>
    <mergeCell ref="T321:T322"/>
    <mergeCell ref="U321:U322"/>
    <mergeCell ref="V321:V322"/>
    <mergeCell ref="A323:A324"/>
    <mergeCell ref="B323:B324"/>
    <mergeCell ref="C323:C324"/>
    <mergeCell ref="D323:D324"/>
    <mergeCell ref="E323:E324"/>
    <mergeCell ref="F323:F324"/>
    <mergeCell ref="G321:G322"/>
    <mergeCell ref="M321:M322"/>
    <mergeCell ref="N321:N322"/>
    <mergeCell ref="O321:O322"/>
    <mergeCell ref="Q321:Q322"/>
    <mergeCell ref="R321:R322"/>
    <mergeCell ref="S327:S328"/>
    <mergeCell ref="T327:T328"/>
    <mergeCell ref="U327:U328"/>
    <mergeCell ref="V327:V328"/>
    <mergeCell ref="A329:A330"/>
    <mergeCell ref="B329:B330"/>
    <mergeCell ref="C329:C330"/>
    <mergeCell ref="D329:D330"/>
    <mergeCell ref="E329:E330"/>
    <mergeCell ref="F329:F330"/>
    <mergeCell ref="G327:G328"/>
    <mergeCell ref="M327:M328"/>
    <mergeCell ref="N327:N328"/>
    <mergeCell ref="O327:O328"/>
    <mergeCell ref="Q327:Q328"/>
    <mergeCell ref="R327:R328"/>
    <mergeCell ref="S325:S326"/>
    <mergeCell ref="T325:T326"/>
    <mergeCell ref="U325:U326"/>
    <mergeCell ref="V325:V326"/>
    <mergeCell ref="A327:A328"/>
    <mergeCell ref="B327:B328"/>
    <mergeCell ref="C327:C328"/>
    <mergeCell ref="D327:D328"/>
    <mergeCell ref="E327:E328"/>
    <mergeCell ref="F327:F328"/>
    <mergeCell ref="G325:G326"/>
    <mergeCell ref="M325:M326"/>
    <mergeCell ref="N325:N326"/>
    <mergeCell ref="O325:O326"/>
    <mergeCell ref="Q325:Q326"/>
    <mergeCell ref="R325:R326"/>
    <mergeCell ref="S331:S332"/>
    <mergeCell ref="T331:T332"/>
    <mergeCell ref="U331:U332"/>
    <mergeCell ref="V331:V332"/>
    <mergeCell ref="A333:A334"/>
    <mergeCell ref="B333:B334"/>
    <mergeCell ref="C333:C334"/>
    <mergeCell ref="D333:D334"/>
    <mergeCell ref="E333:E334"/>
    <mergeCell ref="F333:F334"/>
    <mergeCell ref="G331:G332"/>
    <mergeCell ref="M331:M332"/>
    <mergeCell ref="N331:N332"/>
    <mergeCell ref="O331:O332"/>
    <mergeCell ref="Q331:Q332"/>
    <mergeCell ref="R331:R332"/>
    <mergeCell ref="S329:S330"/>
    <mergeCell ref="T329:T330"/>
    <mergeCell ref="U329:U330"/>
    <mergeCell ref="V329:V330"/>
    <mergeCell ref="A331:A332"/>
    <mergeCell ref="B331:B332"/>
    <mergeCell ref="C331:C332"/>
    <mergeCell ref="D331:D332"/>
    <mergeCell ref="E331:E332"/>
    <mergeCell ref="F331:F332"/>
    <mergeCell ref="G329:G330"/>
    <mergeCell ref="M329:M330"/>
    <mergeCell ref="N329:N330"/>
    <mergeCell ref="O329:O330"/>
    <mergeCell ref="Q329:Q330"/>
    <mergeCell ref="R329:R330"/>
    <mergeCell ref="S335:S336"/>
    <mergeCell ref="T335:T336"/>
    <mergeCell ref="U335:U336"/>
    <mergeCell ref="V335:V336"/>
    <mergeCell ref="A337:A338"/>
    <mergeCell ref="B337:B338"/>
    <mergeCell ref="C337:C338"/>
    <mergeCell ref="D337:D338"/>
    <mergeCell ref="E337:E338"/>
    <mergeCell ref="F337:F338"/>
    <mergeCell ref="G335:G336"/>
    <mergeCell ref="M335:M336"/>
    <mergeCell ref="N335:N336"/>
    <mergeCell ref="O335:O336"/>
    <mergeCell ref="Q335:Q336"/>
    <mergeCell ref="R335:R336"/>
    <mergeCell ref="S333:S334"/>
    <mergeCell ref="T333:T334"/>
    <mergeCell ref="U333:U334"/>
    <mergeCell ref="V333:V334"/>
    <mergeCell ref="A335:A336"/>
    <mergeCell ref="B335:B336"/>
    <mergeCell ref="C335:C336"/>
    <mergeCell ref="D335:D336"/>
    <mergeCell ref="E335:E336"/>
    <mergeCell ref="F335:F336"/>
    <mergeCell ref="G333:G334"/>
    <mergeCell ref="M333:M334"/>
    <mergeCell ref="N333:N334"/>
    <mergeCell ref="O333:O334"/>
    <mergeCell ref="Q333:Q334"/>
    <mergeCell ref="R333:R334"/>
    <mergeCell ref="S339:S340"/>
    <mergeCell ref="T339:T340"/>
    <mergeCell ref="U339:U340"/>
    <mergeCell ref="V339:V340"/>
    <mergeCell ref="G339:G340"/>
    <mergeCell ref="M339:M340"/>
    <mergeCell ref="N339:N340"/>
    <mergeCell ref="O339:O340"/>
    <mergeCell ref="Q339:Q340"/>
    <mergeCell ref="R339:R340"/>
    <mergeCell ref="S337:S338"/>
    <mergeCell ref="T337:T338"/>
    <mergeCell ref="U337:U338"/>
    <mergeCell ref="V337:V338"/>
    <mergeCell ref="A339:A340"/>
    <mergeCell ref="B339:B340"/>
    <mergeCell ref="C339:C340"/>
    <mergeCell ref="D339:D340"/>
    <mergeCell ref="E339:E340"/>
    <mergeCell ref="F339:F340"/>
    <mergeCell ref="G337:G338"/>
    <mergeCell ref="M337:M338"/>
    <mergeCell ref="N337:N338"/>
    <mergeCell ref="O337:O338"/>
    <mergeCell ref="Q337:Q338"/>
    <mergeCell ref="R337:R338"/>
  </mergeCells>
  <dataValidations count="1">
    <dataValidation allowBlank="1" showInputMessage="1" showErrorMessage="1" error="INTRODUCIR UNA FECHA_x000a__x000a_DD/MM/AA" sqref="D329:D330" xr:uid="{C1EE530F-34AB-4404-AEA6-7A775987540D}"/>
  </dataValidations>
  <hyperlinks>
    <hyperlink ref="W7" r:id="rId1" xr:uid="{075E23DE-5902-493F-A2D5-2B8472460E89}"/>
    <hyperlink ref="W9" r:id="rId2" xr:uid="{5298DA86-4DFB-4B56-9980-8D041D8862F3}"/>
    <hyperlink ref="W10" r:id="rId3" xr:uid="{8C572FD7-A43A-44A7-B421-79CF2DFC5424}"/>
    <hyperlink ref="W11" r:id="rId4" xr:uid="{D2DAB0F8-3C82-4E11-B921-272889DD8C7D}"/>
    <hyperlink ref="W12" r:id="rId5" xr:uid="{D71E377F-D916-435A-9968-8BA5CF1E6147}"/>
    <hyperlink ref="W13" r:id="rId6" xr:uid="{6F434EC1-967A-4247-B0C3-C4FA4216857B}"/>
    <hyperlink ref="W14" r:id="rId7" xr:uid="{5A675456-979B-483C-964D-FE1FEDAA8B3F}"/>
    <hyperlink ref="W15" r:id="rId8" xr:uid="{08EEB71A-2797-4052-BB48-F054EC3B51A4}"/>
    <hyperlink ref="W16" r:id="rId9" xr:uid="{B9C6FE8C-848B-4BA9-AFE8-916B9E325068}"/>
    <hyperlink ref="W19" r:id="rId10" xr:uid="{0876E865-DCE6-471A-8951-5BC1111C97AC}"/>
    <hyperlink ref="W20" r:id="rId11" xr:uid="{B3E0C514-5C58-4D7E-83F0-C3A5FAB11352}"/>
    <hyperlink ref="W22" r:id="rId12" xr:uid="{85F08C38-2BA8-4DC4-8A15-9C9F5B7FF0AA}"/>
    <hyperlink ref="W25" display="https://colmetecno.com/products/blister-4-pilas-baterias-alcalinas-1hora-doble-aa-1-5v-gar136?variant=47524610572440&amp;country=CO&amp;currency=COP&amp;utm_medium=product_sync&amp;utm_source=google&amp;utm_content=sag_organic&amp;utm_campaign=sag_organic&amp;srsltid=AfmBOorrtRsk6Uv" xr:uid="{A1B8D665-E83D-4684-B128-085EE4564DE1}"/>
    <hyperlink ref="W26" r:id="rId13" xr:uid="{448CA7CD-16BE-453F-8308-B2D3C8AB0E15}"/>
    <hyperlink ref="W29" r:id="rId14" xr:uid="{0D103CDF-0F47-4572-8E3B-D3875564AA69}"/>
    <hyperlink ref="W31" r:id="rId15" xr:uid="{8A022D17-899C-445F-9A0E-693CF7E6B4A9}"/>
    <hyperlink ref="W34" r:id="rId16" xr:uid="{534022D7-A671-4A0B-804B-D9EA0591A044}"/>
    <hyperlink ref="W35" r:id="rId17" xr:uid="{2D72B63D-19E9-46A1-9288-5413AA44BF9D}"/>
    <hyperlink ref="W36" r:id="rId18" xr:uid="{CA5E3567-9187-49C8-8A38-11FB69A284E8}"/>
    <hyperlink ref="W38" r:id="rId19" xr:uid="{C4FB909A-B066-4188-AAE6-1E73F30836C0}"/>
    <hyperlink ref="W39" r:id="rId20" xr:uid="{7798DF88-67AF-4DC5-AFA6-B9D7A9CDD60E}"/>
    <hyperlink ref="W40" r:id="rId21" xr:uid="{00681030-0E02-4DB7-B294-E8D04543D01F}"/>
    <hyperlink ref="W42" r:id="rId22" xr:uid="{977D0882-26AD-491A-8EA6-10A3F408D041}"/>
    <hyperlink ref="W41" r:id="rId23" display="https://libreriatroya.com/products/estuche-boligrafo-offi-esco-semi-gel-0-7-x10?variant=51441877647633&amp;country=CO&amp;currency=COP&amp;utm_medium=product_sync&amp;utm_source=google&amp;utm_content=sag_organic&amp;utm_campaign=sag_organic&amp;srsltid=AfmBOophlsIc6UY5escKHBJcnIVr6Jym6a0W8wXofzG9arsJcsGU_WhUHEE" xr:uid="{AB9544C0-CA05-4DD3-9BEB-855C6B154776}"/>
    <hyperlink ref="W43" r:id="rId24" xr:uid="{20B4EDC6-EADA-49D2-964F-21C176216AFC}"/>
    <hyperlink ref="W44" r:id="rId25" location="polycard_client=search-desktop&amp;search_layout=grid&amp;position=11&amp;type=product&amp;tracking_id=150b3378-5bfd-453a-8ed0-ffae54fcad58&amp;wid=MCO1576442545&amp;sid=search" display="https://www.mercadolibre.com.co/boligrafo-rapid-gel-tipo-micropunta-con-tapa-x-5-unidades/up/MCOU3156318178#polycard_client=search-desktop&amp;search_layout=grid&amp;position=11&amp;type=product&amp;tracking_id=150b3378-5bfd-453a-8ed0-ffae54fcad58&amp;wid=MCO1576442545&amp;sid=search" xr:uid="{FF4F4C65-AAE5-4C83-B75F-6D5ED6A2DCD3}"/>
    <hyperlink ref="W17" r:id="rId26" xr:uid="{35BAB7A6-2731-45DB-BE2F-9539A0C82590}"/>
    <hyperlink ref="W18" r:id="rId27" xr:uid="{29A3A8F3-DC0B-46E9-A8AC-A8C83EF49294}"/>
    <hyperlink ref="W46" display="https://www.lamina.com.co/products/esfero-borrable-al-calor-frixion?variant=54761100312867&amp;country=CO&amp;currency=COP&amp;utm_medium=product_sync&amp;utm_source=google&amp;utm_content=sag_organic&amp;utm_campaign=sag_organic&amp;srsltid=AfmBOoqxnV_A3-ZBhbJ-8_RWmjpcYFUQ-PXH774Nf" xr:uid="{4B79987F-3951-46B2-94A4-C9F085993FBE}"/>
    <hyperlink ref="W51" r:id="rId28" xr:uid="{DEF646D6-519D-46FA-A984-CA36113C7307}"/>
    <hyperlink ref="W53" r:id="rId29" xr:uid="{073B38A8-D8F6-4132-8DB7-57F52A6C3D5E}"/>
    <hyperlink ref="W54" r:id="rId30" xr:uid="{1DC90EFA-5E5C-49D1-8474-565B031B3E7D}"/>
    <hyperlink ref="W57" r:id="rId31" xr:uid="{AFE4F91D-1BDE-4B18-90D4-BFB453F999E7}"/>
    <hyperlink ref="W60" r:id="rId32" xr:uid="{6141F913-3BD3-4BBC-A526-75D259748B04}"/>
    <hyperlink ref="W62" r:id="rId33" xr:uid="{5B8C7EE6-5163-4158-9A63-49FD630630DB}"/>
    <hyperlink ref="W63" r:id="rId34" xr:uid="{CABD2F4A-4CE6-40F6-A43A-B56104C4396D}"/>
    <hyperlink ref="W64" r:id="rId35" xr:uid="{1ADFE632-B5CD-474A-BD77-F4AF8FD3EF43}"/>
    <hyperlink ref="W68" r:id="rId36" xr:uid="{18BB6A19-7212-4B8C-AC2F-92057B3ECBA2}"/>
    <hyperlink ref="W74" r:id="rId37" xr:uid="{67EEAFDE-C149-4AF3-A202-5441A4B1C3C4}"/>
    <hyperlink ref="W76" r:id="rId38" display="https://www.homecenter.com.co/homecenter-co/product/3003260/rollo-carton-corrugado-12x20-m/3003260/?kid=shopp_goosho_1430587&amp;shop=1&amp;gad_source=1&amp;gad_campaignid=17622046203&amp;gbraid=0AAAAADt6wnq-XDJ2beaohef65K_xnAQyW&amp;gclid=CjwKCAjwyYPOBhBxEiwAgpT8P3440QyOjPp7KBulUVmtU6d0sSn3nVsq5vFHxUn9cWOkSaM-HjubjxoC4egQAvD_BwE" xr:uid="{302C6CB9-5729-44B8-81B0-59AB2CA342B2}"/>
    <hyperlink ref="W80" r:id="rId39" xr:uid="{3646B2FF-65F5-41BE-9F46-2C8DD1280A34}"/>
    <hyperlink ref="W81" r:id="rId40" xr:uid="{B8E4CA65-DD92-42AE-8F8F-D43A51CAF435}"/>
    <hyperlink ref="W82" r:id="rId41" xr:uid="{436995B4-7B44-4A82-9EC3-F795526B59AE}"/>
    <hyperlink ref="W83" r:id="rId42" location="polycard_client=search-desktop&amp;searchVariation=182448785737&amp;search_layout=grid&amp;position=2&amp;type=item&amp;tracking_id=b84aa18e-646b-4987-8913-88c63627000d" display="https://articulo.mercadolibre.com.co/MCO-2321644060-cartuchera-universitaria-unicolor-_JM?searchVariation=182448785737#polycard_client=search-desktop&amp;searchVariation=182448785737&amp;search_layout=grid&amp;position=2&amp;type=item&amp;tracking_id=b84aa18e-646b-4987-8913-88c63627000d" xr:uid="{F511738A-D140-40EF-9597-622DB5266FBA}"/>
    <hyperlink ref="W84" r:id="rId43" xr:uid="{DB0D18D3-D739-4E51-B376-656332D18497}"/>
    <hyperlink ref="W87" r:id="rId44" xr:uid="{EEC34912-AC8E-4048-BD8C-25F67F365FD5}"/>
    <hyperlink ref="W88" r:id="rId45" xr:uid="{95A8CDA9-034A-43D6-BF7E-22034268EF9E}"/>
    <hyperlink ref="W90" r:id="rId46" xr:uid="{8D881780-0013-41C4-9E10-8663633B2560}"/>
    <hyperlink ref="W89" r:id="rId47" xr:uid="{41A05933-58C2-4811-A793-00628A443DE1}"/>
    <hyperlink ref="W91" r:id="rId48" xr:uid="{EEBCEE8C-F9FD-4AAA-ABDA-BBE299326D9D}"/>
    <hyperlink ref="W92" r:id="rId49" xr:uid="{90EC02D0-63F3-4B89-9FA2-FFBAE60F5B74}"/>
    <hyperlink ref="W93" r:id="rId50" xr:uid="{BFDAD689-8D79-4CD2-A8E3-3A615EE1DCB6}"/>
    <hyperlink ref="W94" r:id="rId51" display="https://www.bolsasyempaquescolombia.com/products/cinta-enmascarar-1-pulgada-x-40-mts?variant=48119914299702&amp;country=CO&amp;currency=COP&amp;utm_medium=product_sync&amp;utm_source=google&amp;utm_content=sag_organic&amp;utm_campaign=sag_organic&amp;srsltid=AfmBOoqL73piIJHQPkH9otn4g8YuUkRSmGeLhcY3Zc7tkBOivO67o2McLK8" xr:uid="{D1C4C729-E740-44C5-806D-99F342AAE3AF}"/>
    <hyperlink ref="W97" r:id="rId52" xr:uid="{61B581AB-BEC2-4738-ACA0-1C9625882C1A}"/>
    <hyperlink ref="W98" r:id="rId53" xr:uid="{0D134874-29F4-4C1E-AEDD-D778C4D08959}"/>
    <hyperlink ref="W99" r:id="rId54" xr:uid="{465D21E6-B5F8-4577-8632-523698B46EE4}"/>
    <hyperlink ref="W100" r:id="rId55" xr:uid="{BBDC88A3-2250-4203-82C2-9941F864BB30}"/>
    <hyperlink ref="W101" r:id="rId56" xr:uid="{169B36C7-14E0-429E-9E41-C58ECF5F3E43}"/>
    <hyperlink ref="W102" r:id="rId57" xr:uid="{2DDD2110-0A0A-4B10-9B43-D30527373A12}"/>
    <hyperlink ref="W103" r:id="rId58" xr:uid="{12FF69DC-E993-424F-BDB9-943AF05247F6}"/>
    <hyperlink ref="W104" r:id="rId59" xr:uid="{599119F2-5D26-44D0-BBB3-DE55965DC664}"/>
    <hyperlink ref="W105" r:id="rId60" xr:uid="{3EAAC722-773F-45A6-ACC9-A3C1DBC3C992}"/>
    <hyperlink ref="W106" r:id="rId61" xr:uid="{6F743223-050F-4E46-A71F-30C125EB8D8D}"/>
    <hyperlink ref="W108" r:id="rId62" xr:uid="{7572E31B-795E-4240-B723-DE46F936E75F}"/>
    <hyperlink ref="W109" r:id="rId63" xr:uid="{94CA7F70-100E-42C2-A34F-CE5B80B67505}"/>
    <hyperlink ref="W110" r:id="rId64" display="https://es.aliexpress.com/item/1005010385521131.html?src=google&amp;pdp_npi=4%40dis!COP!39610.56!38764.87!!!!!%40!12000052228890876!ppc!!!&amp;src=google&amp;albch=shopping&amp;acnt=971-003-6642&amp;isdl=y&amp;slnk=&amp;plac=&amp;mtctp=&amp;albbt=Google_7_shopping&amp;aff_platform=google&amp;aff_short_key=UneMJZVf&amp;gclsrc=aw.ds&amp;&amp;albagn=888888&amp;&amp;ds_e_adid=793125220793&amp;ds_e_matchtype=search&amp;ds_e_device=c&amp;ds_e_network=g&amp;ds_e_product_group_id=293946777986&amp;ds_e_product_id=es1005010385521131&amp;ds_e_product_merchant_id=5520179106&amp;ds_e_product_country=ZZ&amp;ds_e_product_language=es&amp;ds_e_product_channel=online&amp;ds_e_product_store_id=&amp;ds_url_v=2&amp;albcp=23471418217&amp;albag=188955071502&amp;isSmbAutoCall=false&amp;needSmbHouyi=false&amp;gad_source=1&amp;gad_campaignid=23471418217&amp;gbraid=0AAAAA_AVUycSgq6khqCam6LTbi1rw7ejb&amp;gclid=CjwKCAjwyYPOBhBxEiwAgpT8PxHqXBeWDnPk1JJWcUvg9FmaLbbkk0XiIec8DKZX5VZiyr1qbYqBxBoCcMIQAvD_BwE" xr:uid="{563E415B-C5B5-4150-999F-1C3F51BD2462}"/>
    <hyperlink ref="W113" r:id="rId65" xr:uid="{676E78B3-3629-430A-A412-BA8BD7009A9B}"/>
    <hyperlink ref="W114" r:id="rId66" xr:uid="{4943708C-2AF5-4E60-AEC1-94874D0DEFF0}"/>
    <hyperlink ref="W115" r:id="rId67" xr:uid="{ACDF0E21-7E3B-4298-AF76-C4234E4EDBC4}"/>
    <hyperlink ref="W116" r:id="rId68" xr:uid="{A3728A2D-689A-45B7-ADA2-153296DF4C15}"/>
    <hyperlink ref="W117" r:id="rId69" display="https://www.bolsasyempaquescolombia.com/products/cubiertos-desechables-grandes-6-x100unds?variant=48237125239094&amp;country=CO&amp;currency=COP&amp;utm_medium=product_sync&amp;utm_source=google&amp;utm_content=sag_organic&amp;utm_campaign=sag_organic&amp;srsltid=AfmBOopODeHDIgqA0o5riyKvlU0FjygVAA9hJh8Z_g8ZvFDyQ_vo5L0ZNN0" xr:uid="{254BD379-BD89-4244-B817-974EB4346D06}"/>
    <hyperlink ref="W118" r:id="rId70" xr:uid="{E81CD49E-018A-4358-B89D-568E43BBD75C}"/>
    <hyperlink ref="W119" r:id="rId71" xr:uid="{6FAA84C9-C30D-46FE-9E73-C0E49C9CC3A8}"/>
    <hyperlink ref="W120" r:id="rId72" xr:uid="{C5CABC55-F4EC-4F95-BD7E-6A15BC1FB56E}"/>
    <hyperlink ref="W121" r:id="rId73" location="polycard_client=recommendations_vip-v2p&amp;reco_backend=ranker_retrieval_system_org&amp;reco_model=rk_ent_v3_retsys_org&amp;reco_client=vip-v2p&amp;reco_item_pos=2&amp;reco_backend_type=low_level&amp;reco_id=e38ab250-e434-4c07-baaa-640aef19784c&amp;wid=MCO510237398&amp;sid=recos" display="https://www.mercadolibre.com.co/dado-didactico-30x30x30-cm/up/MCOU2428165109#polycard_client=recommendations_vip-v2p&amp;reco_backend=ranker_retrieval_system_org&amp;reco_model=rk_ent_v3_retsys_org&amp;reco_client=vip-v2p&amp;reco_item_pos=2&amp;reco_backend_type=low_level&amp;reco_id=e38ab250-e434-4c07-baaa-640aef19784c&amp;wid=MCO510237398&amp;sid=recos" xr:uid="{CCD0D48D-363A-458B-9DFD-0BB75225D676}"/>
    <hyperlink ref="W122" r:id="rId74" xr:uid="{421AF57D-73BE-4762-A26A-0B42FF964302}"/>
    <hyperlink ref="W123" r:id="rId75" xr:uid="{7DCE0AF6-4E33-44A4-A464-98F764584D17}"/>
    <hyperlink ref="W124" r:id="rId76" xr:uid="{22DEE8E2-BB6E-4238-8CF4-8DD0A983F588}"/>
    <hyperlink ref="W125" r:id="rId77" xr:uid="{9BC5D9CF-B863-4FE4-B386-85600E63F9C0}"/>
    <hyperlink ref="W126" r:id="rId78" xr:uid="{033D2E12-EF20-429E-8068-59E559BAD8EF}"/>
    <hyperlink ref="W127" r:id="rId79" location="polycard_client=search-desktop&amp;search_layout=grid&amp;position=1&amp;type=product&amp;tracking_id=8815e981-0671-4a96-a269-b452ba0d4bf1&amp;wid=MCO1504258785&amp;sid=search" display="https://www.mercadolibre.com.co/etiquetas-adhesivas-wg-rollo-50x50mm-termica-directa-500-unidades-blanco/p/MCO42932138#polycard_client=search-desktop&amp;search_layout=grid&amp;position=1&amp;type=product&amp;tracking_id=8815e981-0671-4a96-a269-b452ba0d4bf1&amp;wid=MCO1504258785&amp;sid=search" xr:uid="{683DB945-AEDF-4F0C-8E6B-CA97BFE85ECC}"/>
    <hyperlink ref="W128" r:id="rId80" display="https://www.bolsasyempaquescolombia.com/products/rollo-x-500-etiquetas-autoadhesivas-100x80mm?variant=51825653547318&amp;country=CO&amp;currency=COP&amp;utm_medium=product_sync&amp;utm_source=google&amp;utm_content=sag_organic&amp;utm_campaign=sag_organic&amp;srsltid=AfmBOoo3H0XrASBFhV4gYH1pyddV_0rob1Feeb8ALyfczy4DmytWIR8xDXQ" xr:uid="{4E6D67B8-0FD2-494F-B5E7-0AB9C6439EBA}"/>
    <hyperlink ref="W129" r:id="rId81" xr:uid="{D46FF299-4AD9-4E69-A04D-18BB41FD03EA}"/>
    <hyperlink ref="W130" r:id="rId82" xr:uid="{755EA072-2B9C-4252-A102-1E297D89013D}"/>
    <hyperlink ref="W133" r:id="rId83" xr:uid="{4486CC9C-FDA4-4E58-92D8-45B45B425CAA}"/>
    <hyperlink ref="W134" r:id="rId84" xr:uid="{D3F7B2B2-74E2-4838-9552-88EB2648201A}"/>
    <hyperlink ref="W135" r:id="rId85" xr:uid="{038AA3FF-C23E-416F-8652-F12184738347}"/>
    <hyperlink ref="W136" r:id="rId86" xr:uid="{AA532514-C319-450E-89F0-EFE7E66F31C5}"/>
    <hyperlink ref="W141" r:id="rId87" xr:uid="{F21A5086-FDBB-473E-8750-6A704E47887F}"/>
    <hyperlink ref="W142" r:id="rId88" xr:uid="{30BCC64C-5774-460C-90F3-A8E330621827}"/>
    <hyperlink ref="W143" r:id="rId89" location="polycard_client=search-desktop&amp;search_layout=grid&amp;position=3&amp;type=item&amp;tracking_id=05dfc471-18b2-4676-958c-afaf00c2c0cd" display="https://www.mercadolibre.com.co/juego-de-cartas-ingles-i-toys-for-kids-journey-the-game-of-g/p/MCO2070623426?pdp_filters=item_id%3AMCO3553086868#polycard_client=search-desktop&amp;search_layout=grid&amp;position=3&amp;type=item&amp;tracking_id=05dfc471-18b2-4676-958c-afaf00c2c0cd" xr:uid="{1F9BF84C-C314-46DA-9F87-1DABB17CBAFB}"/>
    <hyperlink ref="W144" r:id="rId90" xr:uid="{3FE90E51-594E-45C9-BA7C-871969B2D4CF}"/>
    <hyperlink ref="W145" r:id="rId91" display="https://www.amazon.com/-/es/Grandpa-Becks-Games-extremadamente-adolescentes/dp/B0077Q0NP2/ref=sr_1_3?__mk_es_US=%C3%85M%C3%85%C5%BD%C3%95%C3%91&amp;crid=34D5TYJPRFGA5&amp;dib=eyJ2IjoiMSJ9.P6Qi3p1Z3ZHNJUzCxHaa12O0VsxAOdG9hOIcemij8IpuqPNKlLkFKBWrp7s_1T7dOU5CBSo2dzY9fSrgfb1_sdpEc6ZqPjMpBI05LGbkZBoHV_WrJVpfbgCrHjIdYcyfLve8ZaCMuQDgSsa1WIMC7texahSgBVDotpVGT7n8oNQDBHS2lfXXI1WFGibnEA2twJcoZ9EChhfb04PencJ8Zo_Wtmg-Mmq7cjTDAuVhq_A.gUiVOH8h8wfJH1LCyNa5zzhmn6LhZMI9qgP8ZAD8H5I&amp;dib_tag=se&amp;keywords=accounting+game&amp;qid=1771616129&amp;sprefix=accounting+ga,aps,240&amp;sr=8-3" xr:uid="{2F548CCA-934F-495B-87F0-D669D8FDE477}"/>
    <hyperlink ref="W146" r:id="rId92" xr:uid="{0931F498-8B23-4B6C-82AE-C96D8B17C657}"/>
    <hyperlink ref="W148" r:id="rId93" xr:uid="{D5B604EC-F263-401B-A247-0EA1090487B3}"/>
    <hyperlink ref="W147" r:id="rId94" display="https://www.amazon.com/-/es/kit-herramientas-del-l%C3%ADder-rendimiento/dp/B0DGLJZJPG/ref=sr_1_42?adgrpid=146768152940&amp;dib=eyJ2IjoiMSJ9.4pYUQu8H_RTuiQmdt93Z8JQ3itcaxFQvt5CExnGyk5C4tzIaHR-Js12RU1miM3bxBEggw87EszdXQ0-pznG1CUoRFMjUkr_ESU2NUpDyC7WgCTsN2qtdW7fbZ0HSPP_f2Qiopd4097r_YdRsQVHYdgoq_JGO5xOf5K11x9yv9ZpymyLJueNPl6K8I_L8lNS-TLURT6IdzGphkNYEyyWeIgmqRgoBBKk7SCuVRzs6QqYAE15PaOL2u5EZPpdKITg1MTTkfue-UC_yXHDdfGBgA4Lu4JHqenQX6fLNSvHB9KI.lCD3_OmsB07wocdMF7TRtyUDETNjqi_j5reIsmzCoR0&amp;dib_tag=se&amp;hvadid=673169177250&amp;hvdev=c&amp;hvlocphy=9208769&amp;hvnetw=g&amp;hvqmt=b&amp;hvrand=14608118402297896878&amp;hvtargid=kwd-295254559889&amp;hydadcr=7244_13380580&amp;keywords=team+building+games+for+adults&amp;mcid=ca962811a2c230c2b7ef35bbfd909ff2&amp;qid=1771850463&amp;sr=8-42" xr:uid="{C6A7C282-1BA9-4934-8885-83C32A5B570C}"/>
    <hyperlink ref="W149" r:id="rId95" xr:uid="{F44E2BC8-9B47-4B35-A651-3D0FC8307851}"/>
    <hyperlink ref="W150" r:id="rId96" display="https://www.amazon.es/Homealexa-Montessori-Actividad-Aprendizaje-Educaci%C3%B3n/dp/B07WPCS8R1/ref=sr_1_19_sspa?dib=eyJ2IjoiMSJ9.o6IWtibCNOa3pY5yaNwQGliGCbKFEFcj268qjrFlQvpTtjygVVJbQ-l0m1dhC0fKUVQL_uLO0--FjPEwPPRMQIEsl3293i2nvGl7Ujv2iPcmnNr0uRYM2X08uE-gZBkLZbJswAU3UaakEap8HObwFcVc4jYJnKLfzKZpEV2ougUgkDQqUoOWqgLEwnoGcG2eaGeu8WHUNIFBza-OFFYByiNIQW7Us09X7A0PcSyCAXTn9jCcSwGrr9zS3XxQb-HddOgqPsYnFIp5eCzgqlq2DcDCkR_AyqKd-G1-Jmc6Odo.Cd1xZU4GS1wopyZ6KGKL1mQHAEhaUinjWoWdMHm7JPs&amp;dib_tag=se&amp;keywords=enhebrar+juguete&amp;qid=1774369140&amp;sr=8-19-spons&amp;aref=rjVjy8uTkU&amp;sp_csd=d2lkZ2V0TmFtZT1zcF9tdGY&amp;psc=1&amp;language=es_ES&amp;currency=COP" xr:uid="{152564F5-550D-4530-AD85-6ECE6E71EACD}"/>
    <hyperlink ref="W151" r:id="rId97" xr:uid="{B9C6D832-5C52-4E06-A980-6F34862C7BE5}"/>
    <hyperlink ref="W152" r:id="rId98" xr:uid="{1C4BC9D5-2BAB-4D31-B709-48B45E6D3E28}"/>
    <hyperlink ref="W153" r:id="rId99" xr:uid="{5960B035-FCF0-481C-99BD-6108E2C76F69}"/>
    <hyperlink ref="W154" r:id="rId100" xr:uid="{B0688BDC-D8E5-44B3-87B0-13D004F496A0}"/>
    <hyperlink ref="W156" r:id="rId101" display="https://todoenartes.com/products/juego-de-mesa-el-erudito-ingenio-destreza?variant=42651266875470&amp;country=CO&amp;currency=COP&amp;utm_medium=product_sync&amp;utm_source=google&amp;utm_content=sag_organic&amp;utm_campaign=sag_organic&amp;srsltid=AfmBOopio2zkRhbrU0Vr5r2fS_TdAPZbFBwrl73h8408wVatgA6jtLqYHY0" xr:uid="{C4FA3FFE-563E-42C8-BE0A-B1C685279E8E}"/>
    <hyperlink ref="W155" r:id="rId102" xr:uid="{F26AC7D9-50C0-42A2-B240-433CEF95090B}"/>
    <hyperlink ref="W158" r:id="rId103" display="https://www.amazon.com/%C2%A1Juego-CoderMindz-para-aprendices-Presentado/dp/B07FTG78C3/ref=sr_1_9?__mk_es_US=%C3%85M%C3%85%C5%BD%C3%95%C3%91&amp;crid=FDK6OSSLYMQJ&amp;dib=eyJ2IjoiMSJ9.8TEwlzyjfpR7C9WPW52F5pTUuDxCHFXfDjpf2OHhqtxRGMlwTF8dXkIrX2Btl0vKFWZzymTCSiWDmauiCJAw-A7i_59jz_UYfJwF8qEJQrKrRLRRgMgmwRuN-D5cfd4UQ_iqos_aJQPK0BMaixf8-TYk5HwWkyjZR3CQoz_9HmjBtcval0nCxm3ihoDksIIvInjAE_V_6KsphGdm7Hzwr32hPhTAXw-Kx0L70MFvG4zfcluT3vHIkvkYWxKgesv43TscaxxCqefHO7Fh2mhnJVq3_UsUGMsOQjmV8k3THug.6tQyAKWPE2Wm5ouNF_I_3fxxzlSRTuCezbxmf-Pl410&amp;dib_tag=se&amp;keywords=software+programming+educational+board+game&amp;qid=1771855542&amp;sprefix=software+programming+educational+board+game%2Caps%2C183&amp;sr=8-9&amp;language=en_US&amp;currency=COP" xr:uid="{BE650DDC-D6D2-475F-A9C7-D4E0F5113C91}"/>
    <hyperlink ref="W157" r:id="rId104" location="polycard_client=search-desktop&amp;search_layout=grid&amp;position=1&amp;type=product&amp;tracking_id=ba10be18-a9fc-4012-95d7-0dbe7389230e&amp;wid=MCO3328670208&amp;sid=search" display="https://www.mercadolibre.com.co/juego-de-mesa-codermindz-para-estudiantes-de-ia-a-partir-de/p/MCO2042031997#polycard_client=search-desktop&amp;search_layout=grid&amp;position=1&amp;type=product&amp;tracking_id=ba10be18-a9fc-4012-95d7-0dbe7389230e&amp;wid=MCO3328670208&amp;sid=search" xr:uid="{7780436D-4CD7-4655-9AEA-63FC38E920BB}"/>
    <hyperlink ref="W159" r:id="rId105" xr:uid="{5B12602D-19C4-4C5E-BBA3-B9C3FC48C98F}"/>
    <hyperlink ref="W160" r:id="rId106" xr:uid="{2B103295-A78E-4367-8C75-69B275A3F53E}"/>
    <hyperlink ref="W161" r:id="rId107" xr:uid="{AD2465C9-2719-4865-81B7-BA02C4E2BBBB}"/>
    <hyperlink ref="W162" r:id="rId108" xr:uid="{A41AD992-6274-4E47-9286-A895D3C9D2F3}"/>
    <hyperlink ref="W164" r:id="rId109" xr:uid="{EB285A5F-E793-420A-B990-3CA8A936B206}"/>
    <hyperlink ref="W165" r:id="rId110" display="https://www.amazon.com/Chameleon-galardonado-palabras-secretas-adicionales/dp/B09S3ZJJRM/ref=sr_1_1_sspa?adgrpid=167665647824&amp;dib=eyJ2IjoiMSJ9.tpsrxtsh95-DhrNu3c8oQBWxVdYdiLbAknb-3vrXDPLLXf8usaPrRZ9Ism_8ogAcSUkWrKH1Vk2BE44jh4eBYoXt7959bQ2z6gmqPpjOfOFkiyLFcfDdKeM-do1d9UX&amp;th=1&amp;language=es_US" xr:uid="{5AA920E0-B345-41E7-8458-072BA7D533D4}"/>
    <hyperlink ref="W166" r:id="rId111" xr:uid="{B06D3DCE-C654-4E99-8118-2D7B928EC4BC}"/>
    <hyperlink ref="W167" r:id="rId112" location="polycard_client=search-desktop&amp;search_layout=grid&amp;position=4&amp;type=product&amp;tracking_id=448cb81a-6d67-44fa-a78d-c5807a6bcbc8&amp;wid=MCO1759389979&amp;sid=search" xr:uid="{D94892D2-DC7F-45FF-81E6-867AB11D9DE7}"/>
    <hyperlink ref="W168" r:id="rId113" xr:uid="{B117F02F-78D4-4F8E-85E3-CEB1DAD09A11}"/>
    <hyperlink ref="W169" r:id="rId114" xr:uid="{41B52678-0E58-4B1D-8C4E-B83882DA4FCA}"/>
    <hyperlink ref="W170" r:id="rId115" xr:uid="{086596FB-D3EE-4EDD-8404-5A5AE67042EA}"/>
    <hyperlink ref="W171" r:id="rId116" location="polycard_client=search-desktop&amp;search_layout=grid&amp;position=2&amp;type=product&amp;tracking_id=4c25d0a1-452d-432a-bd95-77cfbb46f991&amp;wid=MCO3529178554&amp;sid=search" xr:uid="{4B48C270-5E95-4887-B47A-E51E9D0333B4}"/>
    <hyperlink ref="W172" r:id="rId117" display="https://www.amazon.com/-/es/Fotorama-Magnetic-adivinanzas-oscuridad-misteriosas/dp/B00PPWLGI8/ref=sr_1_2?adgrpid=161745943670&amp;dib=eyJ2IjoiMSJ9.kDe-HN0MpekFulGXTI2NWUE8Fmram1pyyW0XSNXD3rRMPlH8kjpl2vRQY7fpIWsVZVnsuCTO0pIIsO_HcoEWCYTKYZ1RSMPxEMZUReYKKhccWoF0rl2ZxpesKoOHLMJETfwcM3PYk4MjqZN0SPlzswGXkuz4D7ZW8_o_N2mGPC_pE30E3ILUNI8fVvr6TcnmUX1cJPIhhNFemk0A3Jo2Ca5OAZtjPB4D4T8ETMSFb0zw6bc6xqDiO771fVS3u22vVr8yRoomvHiTv8RTky_Kaxb3RFKrMA114xdcNddurSM.4UFS-qu6ij3gRHTJotu4SFguJgpHD_SJ0Q7NpT34WXY&amp;dib_tag=se&amp;hvadid=688078581490&amp;hvdev=c&amp;hvlocphy=9198551&amp;hvnetw=g&amp;hvqmt=e&amp;hvrand=4141326226966963449&amp;hvtargid=kwd-590020736314&amp;hydadcr=3143_13709411&amp;keywords=juego+ahorcado+magnetico&amp;mcid=0a4a4daa1ec13c2da6ba076a214ff613&amp;qid=1774464190&amp;sr=8-2" xr:uid="{58210DCF-5E92-48CE-829B-6C9CDEEF7A76}"/>
    <hyperlink ref="W173" r:id="rId118" xr:uid="{229CFA83-01C5-40EA-BFE4-53B897D23314}"/>
    <hyperlink ref="W174" r:id="rId119" xr:uid="{A1911DDF-5F83-4625-B9BD-C4ACE442BE2A}"/>
    <hyperlink ref="W175" r:id="rId120" display="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 xr:uid="{D8210FBF-89F2-4687-BDDF-D02F9257B1DA}"/>
    <hyperlink ref="W176" r:id="rId121" location="1" xr:uid="{94FDF3D1-BAED-48CA-8B0F-8208040FB46A}"/>
    <hyperlink ref="W177" r:id="rId122" display="  Histórico tomado del link, https://community.secop.gov.co/Public/Tendering/OpportunityDetail/Index?noticeUID=CO1.NTC.8172419&amp;isFromPublicArea=True&amp;isModal=False ; Proceso Número del proceso SASI-ANT-CDMC-00076-2025 , empresa EQUISUMINISTROS Y CONSTRUCCIONES SAS, contrato del 2025, precio unitario aumentando IPC 5,29% para el 2026  " xr:uid="{E23EF38C-D94D-4ECE-A675-AC85D01F569B}"/>
    <hyperlink ref="W178" r:id="rId123" xr:uid="{3100EEDD-1CA4-4CFC-9BA9-C114372FB0BC}"/>
    <hyperlink ref="W179" r:id="rId124" xr:uid="{113F1EEE-0C13-49DD-AD17-5629571B1021}"/>
    <hyperlink ref="W180" r:id="rId125" xr:uid="{31C330CD-4B1F-43E1-9DA0-0B1F60910F62}"/>
    <hyperlink ref="W182" r:id="rId126" xr:uid="{349215A4-BED9-4F29-A222-9756E7C2B03E}"/>
    <hyperlink ref="W184" r:id="rId127" display="https://lagranpapeleria.com/products/copia-de-boligrafo-kilometrico-retractil?variant=35632019341466&amp;country=CO&amp;currency=COP&amp;utm_medium=product_sync&amp;utm_source=google&amp;utm_content=sag_organic&amp;utm_campaign=sag_organic&amp;srsltid=AfmBOopI2WKeHixiARNwc6hXteYm9ugd7wPiz4KbjtYoivjgKnUEoBLIXGQ" xr:uid="{80BFBE75-9EF6-4624-A605-3E4ACBF86DE3}"/>
    <hyperlink ref="W188" r:id="rId128" xr:uid="{77C5C592-4D81-4D39-AF2B-A97AE79CAA1E}"/>
    <hyperlink ref="W189" r:id="rId129" xr:uid="{31443523-2FCD-4176-8D5E-03618BFA1331}"/>
    <hyperlink ref="W190" r:id="rId130" xr:uid="{73CF34CF-BE1D-474A-80D7-EAD9B8510093}"/>
    <hyperlink ref="W192" r:id="rId131" display="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 xr:uid="{EA7C5030-8E9D-45A1-9AB9-4B4CA49A12D6}"/>
    <hyperlink ref="W194" r:id="rId132" display="Historico tomado del link, https://community.secop.gov.co/Public/Tendering/OpportunityDetail/Index?noticeUID=CO1.NTC.6150866&amp;isFromPublicArea=True&amp;isModal=False ; Proceso No. SASI-ANT-CDMC-0042-2024, empresa INVERSIONES Y SUMINISTROS RL SAS, Periodo 2024, aumentando el IPC del 5.1% de 2025 y 5.29% del IPC para 2026 " xr:uid="{E8D5432A-7542-4F24-9C1E-C96FA67C1BA8}"/>
    <hyperlink ref="W191" r:id="rId133" xr:uid="{D59D1C9C-5CFF-4229-80FF-A615B80A526E}"/>
    <hyperlink ref="W193" r:id="rId134" xr:uid="{9DBC2B8A-9691-42B5-B0EB-18F4C9166759}"/>
    <hyperlink ref="W195" r:id="rId135" xr:uid="{4444E948-C5BD-4FFB-AA97-8DC3A0AD4686}"/>
    <hyperlink ref="W198" r:id="rId136" xr:uid="{7EEDCBE9-3880-4FC0-92D3-5B2133514BCA}"/>
    <hyperlink ref="W197" r:id="rId137" xr:uid="{9EEB659F-8927-40BB-A138-20AE1C9523F5}"/>
    <hyperlink ref="W199" r:id="rId138" xr:uid="{0168F556-E263-414A-A641-7E7EEC5D384F}"/>
    <hyperlink ref="W200" r:id="rId139" xr:uid="{54DE92F3-9B8E-4841-AB30-AC85C99ACCFB}"/>
    <hyperlink ref="W202" r:id="rId140" xr:uid="{500792B9-653F-4303-BD61-F88E6E2637A7}"/>
    <hyperlink ref="W205" r:id="rId141" xr:uid="{5EBD1CEF-49BF-4168-BF4D-CCE26F6F57FE}"/>
    <hyperlink ref="W206" r:id="rId142" xr:uid="{FE875EAE-EDB4-4E1A-BEB1-03D8E82703FE}"/>
    <hyperlink ref="W201" r:id="rId143" xr:uid="{9E0E8CB6-2E89-4F4F-9B6A-F667119EA4B7}"/>
    <hyperlink ref="W339" r:id="rId144" xr:uid="{97DE96E5-69CD-421E-98C9-4B4C6C329D76}"/>
    <hyperlink ref="W340" r:id="rId145" xr:uid="{D4CC7365-0B4E-4877-AC05-4609516E1FF4}"/>
    <hyperlink ref="W337" r:id="rId146" xr:uid="{9101B63D-573E-43C4-9E81-C62EB98D1C74}"/>
    <hyperlink ref="W338" r:id="rId147" xr:uid="{AC78F7D4-4689-4C07-993D-68AF790CFFE4}"/>
    <hyperlink ref="W336" r:id="rId148" xr:uid="{DEBE4B0F-C5A1-434B-A084-7CAD4F7AB22D}"/>
    <hyperlink ref="W335" r:id="rId149" xr:uid="{CF458002-8293-47C1-A8F4-F8D764F80239}"/>
    <hyperlink ref="W333" r:id="rId150" xr:uid="{36F4F23D-9C12-4E6C-8EBF-3A61C92A4A4B}"/>
    <hyperlink ref="W334" r:id="rId151" xr:uid="{95BF87A0-B993-44E6-A011-1DBDB1543EB7}"/>
    <hyperlink ref="W331" r:id="rId152" location="is_advertising=true&amp;searchVariation=MCO30463814&amp;backend_model=search-backend&amp;position=1&amp;search_layout=grid&amp;type=pad&amp;tracking_id=0297fbb4-4c0b-4e8f-8441-70906014509b&amp;ad_domain=VQCATCORE_LST&amp;ad_position=1&amp;ad_click_id=Nzg4Zjg2MTMtNWRhZi00YTlkLThlNDgtZGE5ZDM3OGJiNmZk" display="https://www.mercadolibre.com.co/multitoma-regleta-electrica-6-salidas-3m-proteccion-sobrecarga-titanium/p/MCO30463814?pdp_filters=item_id:MCO2181256042#is_advertising=true&amp;searchVariation=MCO30463814&amp;backend_model=search-backend&amp;position=1&amp;search_layout=grid&amp;type=pad&amp;tracking_id=0297fbb4-4c0b-4e8f-8441-70906014509b&amp;ad_domain=VQCATCORE_LST&amp;ad_position=1&amp;ad_click_id=Nzg4Zjg2MTMtNWRhZi00YTlkLThlNDgtZGE5ZDM3OGJiNmZk" xr:uid="{6220148F-DE79-4A5D-8DAF-42E324BE0EDD}"/>
    <hyperlink ref="W332" r:id="rId153" xr:uid="{AD95AE77-0C15-4583-9AA0-0AF7ED1132DD}"/>
    <hyperlink ref="W329" r:id="rId154" display="https://www.jd-market.com/products/mouse-optico-usb-luz-led-roja?variant=46808669585646&amp;country=CO&amp;currency=COP&amp;utm_medium=product_sync&amp;utm_source=google&amp;utm_content=sag_organic&amp;utm_campaign=sag_organic&amp;srsltid=AfmBOopzOl17RXAtQ64NV_Og7AAfsOyicTyxah1UXXYjmc4iabi-BJ78IHc" xr:uid="{EA0E04F6-7B7A-47E6-96C5-64214F578E24}"/>
    <hyperlink ref="W330" r:id="rId155" xr:uid="{A99E5FFA-175B-4491-AA96-D58F5B518DAF}"/>
    <hyperlink ref="W328" r:id="rId156" xr:uid="{9DA6E3E8-DEF3-4F2C-8E3C-13E14D41A145}"/>
    <hyperlink ref="W326" r:id="rId157" xr:uid="{AB2AAE71-9CE5-4702-9B22-2016028AEEBC}"/>
    <hyperlink ref="W324" r:id="rId158" xr:uid="{9F79CFD4-E1B8-4339-B1A7-ADEBB2882AA2}"/>
    <hyperlink ref="W322" r:id="rId159" xr:uid="{407C68CA-73F7-4F6F-AED8-3DD7F100CB60}"/>
    <hyperlink ref="W319" r:id="rId160" xr:uid="{7EF45812-34AD-4D14-A27B-3AF949C85DC2}"/>
    <hyperlink ref="W320" r:id="rId161" xr:uid="{9FB945D4-7297-434D-BE7E-D29272721B55}"/>
    <hyperlink ref="W316" r:id="rId162" xr:uid="{9AA96448-BEF2-4A5E-AC13-48B95CDE0227}"/>
    <hyperlink ref="W318" r:id="rId163" xr:uid="{AC64A5A3-B8F0-4781-89D1-472EB184B63A}"/>
    <hyperlink ref="W315" r:id="rId164" xr:uid="{D705BFF8-CEEC-4E95-9647-DE064E0C6F34}"/>
    <hyperlink ref="W317" r:id="rId165" xr:uid="{8C5EF6EF-F162-4BB7-A47C-4622CE4351C1}"/>
    <hyperlink ref="W311" r:id="rId166" xr:uid="{537D4A77-24E7-4009-BF2A-03BEA92FEBB3}"/>
    <hyperlink ref="W312" r:id="rId167" xr:uid="{FD46EA5F-FFFD-4F4E-8BD4-147283CD77D5}"/>
    <hyperlink ref="W307" r:id="rId168" xr:uid="{5A0DAD93-A427-4CC9-AB25-F48F3840A95C}"/>
    <hyperlink ref="W308" r:id="rId169" xr:uid="{0585ED4D-7005-4525-A99A-6D28AE74A8B5}"/>
    <hyperlink ref="W207" r:id="rId170" xr:uid="{75E072DE-6D22-49AC-B614-4DF232AF5850}"/>
    <hyperlink ref="W208" r:id="rId171" xr:uid="{37B030CC-F69C-4757-9D90-665A2AFC71B6}"/>
    <hyperlink ref="W210" r:id="rId172" xr:uid="{4C9A28CE-9B64-4466-A1FC-18CD66F60EF9}"/>
    <hyperlink ref="W209" r:id="rId173" xr:uid="{1A6A8E2D-1E18-45EA-9280-6BE117B9E220}"/>
    <hyperlink ref="W211" r:id="rId174" xr:uid="{B3EF3C37-A1A0-4402-930A-D539DB48C96E}"/>
    <hyperlink ref="W218" r:id="rId175" xr:uid="{07C3F14A-E396-4FA0-8711-F67BED9D9894}"/>
    <hyperlink ref="W221" r:id="rId176" location="is_advertising=true&amp;searchVariation=MCOU2431601503&amp;backend_model=search-backend&amp;position=3&amp;search_layout=grid&amp;type=pad&amp;tracking_id=4e60d9d5-3546-4ef1-b72d-22efa2650696&amp;ad_domain=VQCATCORE_LST&amp;ad_position=3&amp;ad_click_id=ZjE1YWE1ZjMtMWJlNy00M2ZlLWE3NTUtMjllNjYwZGMzY2Uz" display="https://www.mercadolibre.com.co/mugs-pocillos-vasos-personalizados-medellin/up/MCOU2431601503?pdp_filters=item_id:MCO832077733#is_advertising=true&amp;searchVariation=MCOU2431601503&amp;backend_model=search-backend&amp;position=3&amp;search_layout=grid&amp;type=pad&amp;tracking_id=4e60d9d5-3546-4ef1-b72d-22efa2650696&amp;ad_domain=VQCATCORE_LST&amp;ad_position=3&amp;ad_click_id=ZjE1YWE1ZjMtMWJlNy00M2ZlLWE3NTUtMjllNjYwZGMzY2Uz" xr:uid="{C33C30A9-C8FD-4E89-8D63-8B5634FEF2C2}"/>
    <hyperlink ref="W222" r:id="rId177" xr:uid="{79C32E63-89B0-4A0E-A153-7FEA87FE803D}"/>
    <hyperlink ref="W223" r:id="rId178" xr:uid="{D43B3C92-4757-4B58-99CD-3CF75FEF0A2E}"/>
    <hyperlink ref="W224" r:id="rId179" xr:uid="{CD2A3A0C-4C01-4727-B2D7-ED27250AB5BE}"/>
    <hyperlink ref="W225" r:id="rId180" xr:uid="{87A5A265-C771-4272-BDCB-2F2E0D3754DF}"/>
    <hyperlink ref="W227" r:id="rId181" xr:uid="{D0B68960-571D-4D84-B5DC-E862FAAAD18D}"/>
    <hyperlink ref="W228" r:id="rId182" xr:uid="{3A997B3B-C5EC-4A83-B2B7-416C2B53F2E7}"/>
    <hyperlink ref="W229" r:id="rId183" xr:uid="{350FB023-113F-4592-B724-CE89C471666A}"/>
    <hyperlink ref="W230" r:id="rId184" xr:uid="{8A84B31E-1613-407F-9DA5-CF79B5E43C95}"/>
    <hyperlink ref="W231" r:id="rId185" xr:uid="{5F8DCD57-F491-4E14-AE80-F1875086F8DE}"/>
    <hyperlink ref="W233" r:id="rId186" xr:uid="{C282EE6A-4EE5-41AE-8245-485465E212C0}"/>
    <hyperlink ref="W234" r:id="rId187" location="/81-calibre-calibre_10" xr:uid="{6A1C352C-77E3-4DDC-B03E-BA071FB4D9AC}"/>
    <hyperlink ref="W237" r:id="rId188" xr:uid="{F5A40A7E-8584-4778-97F5-170D1FED9F36}"/>
    <hyperlink ref="W238" r:id="rId189" location="/74-tamano-a3" xr:uid="{F4CEDD66-26C9-4E97-85A4-A8ABA2FFF927}"/>
    <hyperlink ref="W241" r:id="rId190" xr:uid="{A24EFAE9-5CEB-4D23-B6AB-1FD7B53D96FF}"/>
    <hyperlink ref="W242" r:id="rId191" xr:uid="{8BD257E6-027D-42B1-AE95-023E636F0A85}"/>
    <hyperlink ref="W244" r:id="rId192" xr:uid="{3E92BC2B-E0C8-4940-A658-BD0F10541E62}"/>
    <hyperlink ref="W250" r:id="rId193" xr:uid="{C1DB1BE8-3A55-407C-8029-3749459B46C6}"/>
    <hyperlink ref="W252" r:id="rId194" xr:uid="{7F9391EF-3492-4958-AD30-7F14BFA22250}"/>
    <hyperlink ref="W254" r:id="rId195" xr:uid="{E28D9AD7-38FF-4935-8878-68BFDAB9E59C}"/>
    <hyperlink ref="W302" r:id="rId196" xr:uid="{4A28820B-84CC-4CA8-BD8E-347DC5F469A6}"/>
    <hyperlink ref="W255" r:id="rId197" xr:uid="{EC505C90-A75B-4E40-8DAF-83879E689406}"/>
    <hyperlink ref="W256" r:id="rId198" xr:uid="{5058A9C6-AE56-4451-A09C-FBC9829C17FA}"/>
    <hyperlink ref="W258" r:id="rId199" xr:uid="{BC7545FA-4437-4605-A2FB-BA1201EBEA97}"/>
    <hyperlink ref="W260" r:id="rId200" xr:uid="{DE117640-473F-4670-A924-929AB3793E53}"/>
    <hyperlink ref="W261" r:id="rId201" xr:uid="{6F99D6C5-DC1D-4176-B5B3-2B30B19F7B6B}"/>
    <hyperlink ref="W263" r:id="rId202" xr:uid="{C42CECC7-4EFD-4161-91BF-DB40A47FF9FF}"/>
    <hyperlink ref="W265" r:id="rId203" display="https://todoenartes.com/products/pintura-para-tela-30-ml-azul-primario-franco-arte?variant=42414043103310&amp;country=CO&amp;currency=COP&amp;utm_medium=product_sync&amp;utm_source=google&amp;utm_content=sag_organic&amp;utm_campaign=sag_organic&amp;srsltid=AfmBOoqK8QIAD4Y5yllUWuenSY9FkfwpEnjNEJV4MWVEG4rcNbKE7EXR2XM" xr:uid="{D288A8B5-15C0-4748-98BE-AC139691B64C}"/>
    <hyperlink ref="W266" r:id="rId204" xr:uid="{5CE440B4-A5F9-4854-AF14-E092EF0F4BD1}"/>
    <hyperlink ref="W267" r:id="rId205" xr:uid="{1E3EE62C-3DAF-47B9-8BBE-CE1614978D64}"/>
    <hyperlink ref="W268" r:id="rId206" xr:uid="{4A3B2743-BD79-4138-B9FE-E78BBD94E793}"/>
    <hyperlink ref="W279" r:id="rId207" xr:uid="{2940D096-9FE8-484B-A77B-BB4163DA756F}"/>
    <hyperlink ref="W280" r:id="rId208" xr:uid="{C78F1F8A-DC95-4160-9192-42170A652F29}"/>
    <hyperlink ref="W281" r:id="rId209" xr:uid="{D1B1EF3B-587A-4BEC-B09C-9AD45627273E}"/>
    <hyperlink ref="W283" r:id="rId210" xr:uid="{9F3AEE66-B9F6-457D-B159-1CCA59026216}"/>
    <hyperlink ref="W284" r:id="rId211" xr:uid="{ACC50393-0817-4292-ADE2-2737F4BBE07B}"/>
    <hyperlink ref="W287" r:id="rId212" xr:uid="{1D879220-E5FA-40D2-81C2-048A3FD67919}"/>
    <hyperlink ref="W291" r:id="rId213" xr:uid="{441382D8-11F1-4183-8D7F-9D0984B3818D}"/>
    <hyperlink ref="W292" r:id="rId214" xr:uid="{0689245A-2DC3-4745-A199-B708CF44C673}"/>
    <hyperlink ref="W297" r:id="rId215" xr:uid="{4D29653F-5718-42D8-999D-D3193C1A00BD}"/>
    <hyperlink ref="W298" r:id="rId216" location="polycard_client=search-desktop&amp;search_layout=grid&amp;position=15&amp;type=product&amp;tracking_id=0627faa8-16ef-4699-9179-33c192009814&amp;wid=MCO863358965&amp;sid=search" xr:uid="{925D9D30-1527-45D4-8268-67703ED71C11}"/>
    <hyperlink ref="W295" r:id="rId217" xr:uid="{4157A621-59BC-4FE5-A244-D8798B1C8D58}"/>
    <hyperlink ref="W299" r:id="rId218" xr:uid="{7250C36C-2F79-4D41-BAF4-ABBB30D84CAE}"/>
    <hyperlink ref="W300" r:id="rId219" xr:uid="{B1305238-CFB3-4C07-94FD-AF8589F67B4B}"/>
    <hyperlink ref="W65" r:id="rId220" xr:uid="{909F8094-DA8C-47A1-9843-F41B6EFEA6A4}"/>
    <hyperlink ref="W66" r:id="rId221" xr:uid="{2B9796F5-9D6B-493C-9387-AC17EDB6C918}"/>
    <hyperlink ref="W278" r:id="rId222" xr:uid="{F0B5E526-DF50-46FB-863B-10E9BA62F84F}"/>
    <hyperlink ref="W58" r:id="rId223" xr:uid="{75EE131B-CB57-4264-A4B1-D3A30327FAE4}"/>
    <hyperlink ref="W139" r:id="rId224" xr:uid="{70B4374F-60AF-458C-AF75-81E5838B40E6}"/>
    <hyperlink ref="W140" r:id="rId225" xr:uid="{A0133C58-FB6E-47D7-A6F3-C989FF223012}"/>
  </hyperlinks>
  <pageMargins left="0.7" right="0.7" top="0.75" bottom="0.75" header="0.3" footer="0.3"/>
  <pageSetup paperSize="9" orientation="portrait" horizontalDpi="300" verticalDpi="300" r:id="rId226"/>
  <legacyDrawing r:id="rId227"/>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D7C42-C9D3-4920-B01B-668942090213}">
  <sheetPr>
    <pageSetUpPr fitToPage="1"/>
  </sheetPr>
  <dimension ref="A1:V45"/>
  <sheetViews>
    <sheetView zoomScale="80" zoomScaleNormal="80" workbookViewId="0">
      <pane xSplit="3" ySplit="4" topLeftCell="D5" activePane="bottomRight" state="frozen"/>
      <selection pane="topRight" activeCell="D1" sqref="D1"/>
      <selection pane="bottomLeft" activeCell="A5" sqref="A5"/>
      <selection pane="bottomRight" activeCell="K5" sqref="K5"/>
    </sheetView>
  </sheetViews>
  <sheetFormatPr baseColWidth="10" defaultColWidth="11.44140625" defaultRowHeight="14.4" outlineLevelCol="1" x14ac:dyDescent="0.3"/>
  <cols>
    <col min="1" max="1" width="7.44140625" style="2" customWidth="1"/>
    <col min="2" max="2" width="12.6640625" style="2" customWidth="1"/>
    <col min="3" max="3" width="24" style="2" customWidth="1"/>
    <col min="4" max="4" width="29.88671875" style="2" customWidth="1"/>
    <col min="5" max="5" width="12.33203125" style="2" customWidth="1"/>
    <col min="6" max="6" width="12.5546875" style="2" customWidth="1"/>
    <col min="7" max="7" width="11.44140625" style="2"/>
    <col min="8" max="8" width="20.5546875" style="2" customWidth="1" outlineLevel="1"/>
    <col min="9" max="9" width="13" style="1" customWidth="1" outlineLevel="1"/>
    <col min="10" max="10" width="11.44140625" style="2" customWidth="1" outlineLevel="1"/>
    <col min="11" max="11" width="15.6640625" style="1" customWidth="1" outlineLevel="1"/>
    <col min="12" max="12" width="15.88671875" style="3" customWidth="1" outlineLevel="1"/>
    <col min="13" max="13" width="18.33203125" style="4" customWidth="1"/>
    <col min="14" max="14" width="18.5546875" style="4" customWidth="1"/>
    <col min="15" max="15" width="18.88671875" style="4" customWidth="1"/>
    <col min="16" max="16" width="17.88671875" style="3" customWidth="1"/>
    <col min="17" max="17" width="17.88671875" style="4" customWidth="1"/>
    <col min="18" max="18" width="17.88671875" style="3" customWidth="1"/>
    <col min="19" max="19" width="17" style="2" customWidth="1"/>
    <col min="20" max="20" width="16.88671875" style="2" customWidth="1"/>
    <col min="21" max="21" width="19.88671875" style="2" customWidth="1"/>
    <col min="22" max="22" width="23.109375" style="2" customWidth="1"/>
    <col min="23" max="16384" width="11.44140625" style="2"/>
  </cols>
  <sheetData>
    <row r="1" spans="1:22" ht="20.25" customHeight="1" x14ac:dyDescent="0.3">
      <c r="A1" s="760" t="s">
        <v>1693</v>
      </c>
      <c r="B1" s="760"/>
      <c r="C1" s="761" t="s">
        <v>643</v>
      </c>
      <c r="D1" s="761"/>
      <c r="E1" s="761"/>
      <c r="F1" s="761"/>
      <c r="G1" s="761"/>
      <c r="H1" s="762" t="s">
        <v>644</v>
      </c>
      <c r="I1" s="762"/>
      <c r="J1" s="762"/>
      <c r="K1" s="762"/>
      <c r="L1" s="762"/>
      <c r="M1" s="763" t="s">
        <v>645</v>
      </c>
      <c r="N1" s="763"/>
      <c r="O1" s="763"/>
      <c r="P1" s="763"/>
      <c r="Q1" s="763"/>
      <c r="R1" s="763"/>
      <c r="S1" s="763"/>
      <c r="T1" s="763"/>
      <c r="U1" s="764" t="s">
        <v>646</v>
      </c>
      <c r="V1" s="758">
        <f>SUM(U5:U43)</f>
        <v>5843563.176</v>
      </c>
    </row>
    <row r="2" spans="1:22" ht="19.5" customHeight="1" x14ac:dyDescent="0.3">
      <c r="A2" s="760"/>
      <c r="B2" s="760"/>
      <c r="C2" s="761"/>
      <c r="D2" s="761"/>
      <c r="E2" s="761"/>
      <c r="F2" s="761"/>
      <c r="G2" s="761"/>
      <c r="H2" s="762"/>
      <c r="I2" s="762"/>
      <c r="J2" s="762"/>
      <c r="K2" s="762"/>
      <c r="L2" s="762"/>
      <c r="M2" s="763"/>
      <c r="N2" s="763"/>
      <c r="O2" s="763"/>
      <c r="P2" s="763"/>
      <c r="Q2" s="763"/>
      <c r="R2" s="763"/>
      <c r="S2" s="763"/>
      <c r="T2" s="763"/>
      <c r="U2" s="764"/>
      <c r="V2" s="758"/>
    </row>
    <row r="3" spans="1:22" ht="15" customHeight="1" x14ac:dyDescent="0.3">
      <c r="A3" s="576" t="s">
        <v>3</v>
      </c>
      <c r="B3" s="576" t="s">
        <v>4</v>
      </c>
      <c r="C3" s="576" t="s">
        <v>5</v>
      </c>
      <c r="D3" s="576" t="s">
        <v>6</v>
      </c>
      <c r="E3" s="759" t="s">
        <v>648</v>
      </c>
      <c r="F3" s="759" t="s">
        <v>780</v>
      </c>
      <c r="G3" s="757" t="s">
        <v>9</v>
      </c>
      <c r="H3" s="576" t="s">
        <v>10</v>
      </c>
      <c r="I3" s="765" t="s">
        <v>11</v>
      </c>
      <c r="J3" s="766" t="s">
        <v>12</v>
      </c>
      <c r="K3" s="767" t="s">
        <v>650</v>
      </c>
      <c r="L3" s="768" t="s">
        <v>651</v>
      </c>
      <c r="M3" s="571" t="s">
        <v>15</v>
      </c>
      <c r="N3" s="365" t="s">
        <v>16</v>
      </c>
      <c r="O3" s="559" t="s">
        <v>17</v>
      </c>
      <c r="P3" s="560" t="s">
        <v>18</v>
      </c>
      <c r="Q3" s="365" t="s">
        <v>19</v>
      </c>
      <c r="R3" s="560" t="s">
        <v>20</v>
      </c>
      <c r="S3" s="564" t="s">
        <v>21</v>
      </c>
      <c r="T3" s="565" t="s">
        <v>22</v>
      </c>
      <c r="U3" s="601" t="s">
        <v>23</v>
      </c>
      <c r="V3" s="565" t="s">
        <v>652</v>
      </c>
    </row>
    <row r="4" spans="1:22" ht="69" customHeight="1" x14ac:dyDescent="0.3">
      <c r="A4" s="576"/>
      <c r="B4" s="576"/>
      <c r="C4" s="576"/>
      <c r="D4" s="576"/>
      <c r="E4" s="759"/>
      <c r="F4" s="759"/>
      <c r="G4" s="757"/>
      <c r="H4" s="576"/>
      <c r="I4" s="765"/>
      <c r="J4" s="766"/>
      <c r="K4" s="767"/>
      <c r="L4" s="768"/>
      <c r="M4" s="571"/>
      <c r="N4" s="365"/>
      <c r="O4" s="559"/>
      <c r="P4" s="560"/>
      <c r="Q4" s="365"/>
      <c r="R4" s="560"/>
      <c r="S4" s="564"/>
      <c r="T4" s="565"/>
      <c r="U4" s="601"/>
      <c r="V4" s="565"/>
    </row>
    <row r="5" spans="1:22" ht="45" customHeight="1" x14ac:dyDescent="0.3">
      <c r="A5" s="771">
        <v>1</v>
      </c>
      <c r="B5" s="395">
        <v>50171707</v>
      </c>
      <c r="C5" s="772" t="s">
        <v>1694</v>
      </c>
      <c r="D5" s="393" t="s">
        <v>1695</v>
      </c>
      <c r="E5" s="394" t="s">
        <v>70</v>
      </c>
      <c r="F5" s="394" t="s">
        <v>460</v>
      </c>
      <c r="G5" s="773">
        <v>1</v>
      </c>
      <c r="H5" s="152" t="s">
        <v>1959</v>
      </c>
      <c r="I5" s="82">
        <f>IFERROR(K5/((100+J5)/100),"")</f>
        <v>6389.3361344537825</v>
      </c>
      <c r="J5" s="80">
        <v>19</v>
      </c>
      <c r="K5" s="84">
        <v>7603.31</v>
      </c>
      <c r="L5" s="85">
        <f>IF(I5="","",(K5)*$G$5)</f>
        <v>7603.31</v>
      </c>
      <c r="M5" s="380">
        <f>IFERROR(AVERAGE(L5:L6),"")</f>
        <v>6453.6550000000007</v>
      </c>
      <c r="N5" s="380">
        <f>IFERROR(HARMEAN(L5:L6),"")</f>
        <v>6248.8552982767133</v>
      </c>
      <c r="O5" s="380">
        <f>IFERROR(MEDIAN(L5:L6),"")</f>
        <v>6453.6550000000007</v>
      </c>
      <c r="P5" s="87">
        <f>IF(L5="","",L5)</f>
        <v>7603.31</v>
      </c>
      <c r="Q5" s="381">
        <f>IFERROR(SUM(P5:P6)/COUNTA(P5:P6),"")</f>
        <v>6453.6550000000007</v>
      </c>
      <c r="R5" s="380">
        <f>IFERROR(_xlfn.STDEV.S(P5:P6),"")</f>
        <v>1625.8576930500403</v>
      </c>
      <c r="S5" s="382">
        <f>IFERROR(R5/Q5,"")</f>
        <v>0.25192820084898249</v>
      </c>
      <c r="T5" s="377" t="s">
        <v>1960</v>
      </c>
      <c r="U5" s="769">
        <f>Q5</f>
        <v>6453.6550000000007</v>
      </c>
      <c r="V5" s="770" t="s">
        <v>1965</v>
      </c>
    </row>
    <row r="6" spans="1:22" ht="45" customHeight="1" x14ac:dyDescent="0.3">
      <c r="A6" s="771"/>
      <c r="B6" s="395"/>
      <c r="C6" s="772"/>
      <c r="D6" s="393"/>
      <c r="E6" s="394"/>
      <c r="F6" s="394"/>
      <c r="G6" s="773"/>
      <c r="H6" s="81" t="s">
        <v>1961</v>
      </c>
      <c r="I6" s="82">
        <f>IFERROR(K6/((100+J6)/100),"")</f>
        <v>4457.1428571428578</v>
      </c>
      <c r="J6" s="83">
        <f t="shared" ref="J6" si="0">IF(K6="","",(K6-(K6/1.19))/(K6/1.19)*100)</f>
        <v>18.999999999999982</v>
      </c>
      <c r="K6" s="84">
        <v>5304</v>
      </c>
      <c r="L6" s="85">
        <f>IF(I6="","",(K6)*$G$5)</f>
        <v>5304</v>
      </c>
      <c r="M6" s="380"/>
      <c r="N6" s="380"/>
      <c r="O6" s="380"/>
      <c r="P6" s="87">
        <f>IF(L6="","",L6)</f>
        <v>5304</v>
      </c>
      <c r="Q6" s="381"/>
      <c r="R6" s="380"/>
      <c r="S6" s="382"/>
      <c r="T6" s="377"/>
      <c r="U6" s="769"/>
      <c r="V6" s="770"/>
    </row>
    <row r="7" spans="1:22" ht="45" customHeight="1" x14ac:dyDescent="0.3">
      <c r="A7" s="771">
        <v>2</v>
      </c>
      <c r="B7" s="395">
        <v>26111702</v>
      </c>
      <c r="C7" s="772" t="s">
        <v>1696</v>
      </c>
      <c r="D7" s="393" t="s">
        <v>1697</v>
      </c>
      <c r="E7" s="394" t="s">
        <v>1698</v>
      </c>
      <c r="F7" s="394" t="s">
        <v>511</v>
      </c>
      <c r="G7" s="773">
        <v>1</v>
      </c>
      <c r="H7" s="152" t="s">
        <v>1959</v>
      </c>
      <c r="I7" s="82">
        <f t="shared" ref="I7:I43" si="1">IFERROR(K7/((100+J7)/100),"")</f>
        <v>6620.6218487394963</v>
      </c>
      <c r="J7" s="80">
        <v>19</v>
      </c>
      <c r="K7" s="84">
        <v>7878.54</v>
      </c>
      <c r="L7" s="85">
        <f>IF(I7="","",(K7)*$G$7)</f>
        <v>7878.54</v>
      </c>
      <c r="M7" s="380">
        <f>IFERROR(AVERAGE(L7:L9),"")</f>
        <v>10439.857</v>
      </c>
      <c r="N7" s="380">
        <f>IFERROR(HARMEAN(L7:L9),"")</f>
        <v>10080.372315768174</v>
      </c>
      <c r="O7" s="380">
        <f>IFERROR(MEDIAN(L7:L9),"")</f>
        <v>11541.030999999999</v>
      </c>
      <c r="P7" s="153">
        <f t="shared" ref="P7:P11" si="2">IF(L7="","",L7)</f>
        <v>7878.54</v>
      </c>
      <c r="Q7" s="381">
        <f>IFERROR(SUM(P7:P9)/COUNTA(P7:P9),"")</f>
        <v>10439.857</v>
      </c>
      <c r="R7" s="380">
        <f>IFERROR(_xlfn.STDEV.S(P7:P9),"")</f>
        <v>2225.4153020519598</v>
      </c>
      <c r="S7" s="382">
        <f>IFERROR(R7/Q7,"")</f>
        <v>0.21316530504699058</v>
      </c>
      <c r="T7" s="377" t="s">
        <v>1962</v>
      </c>
      <c r="U7" s="769">
        <f>Q7</f>
        <v>10439.857</v>
      </c>
      <c r="V7" s="770" t="s">
        <v>1966</v>
      </c>
    </row>
    <row r="8" spans="1:22" ht="45" customHeight="1" x14ac:dyDescent="0.3">
      <c r="A8" s="771"/>
      <c r="B8" s="395"/>
      <c r="C8" s="772"/>
      <c r="D8" s="393"/>
      <c r="E8" s="394"/>
      <c r="F8" s="394"/>
      <c r="G8" s="773"/>
      <c r="H8" s="81" t="s">
        <v>1961</v>
      </c>
      <c r="I8" s="82">
        <f>IFERROR(K8/((100+J8)/100),"")</f>
        <v>10000</v>
      </c>
      <c r="J8" s="83">
        <f t="shared" ref="J8:J32" si="3">IF(K8="","",(K8-(K8/1.19))/(K8/1.19)*100)</f>
        <v>19</v>
      </c>
      <c r="K8" s="84">
        <v>11900</v>
      </c>
      <c r="L8" s="85">
        <f>IF(I8="","",(K8)*$G$7)</f>
        <v>11900</v>
      </c>
      <c r="M8" s="380"/>
      <c r="N8" s="380"/>
      <c r="O8" s="380"/>
      <c r="P8" s="154">
        <f t="shared" si="2"/>
        <v>11900</v>
      </c>
      <c r="Q8" s="381"/>
      <c r="R8" s="380"/>
      <c r="S8" s="382"/>
      <c r="T8" s="377"/>
      <c r="U8" s="769"/>
      <c r="V8" s="770"/>
    </row>
    <row r="9" spans="1:22" ht="45" customHeight="1" x14ac:dyDescent="0.3">
      <c r="A9" s="771"/>
      <c r="B9" s="395"/>
      <c r="C9" s="772"/>
      <c r="D9" s="393"/>
      <c r="E9" s="394"/>
      <c r="F9" s="394"/>
      <c r="G9" s="773"/>
      <c r="H9" s="81" t="s">
        <v>1700</v>
      </c>
      <c r="I9" s="82">
        <f t="shared" si="1"/>
        <v>9698.3453781512599</v>
      </c>
      <c r="J9" s="80">
        <v>19</v>
      </c>
      <c r="K9" s="84">
        <f>(10981*0.051)+10981</f>
        <v>11541.030999999999</v>
      </c>
      <c r="L9" s="85">
        <f>IF(I9="","",(K9)*$G$7)</f>
        <v>11541.030999999999</v>
      </c>
      <c r="M9" s="380"/>
      <c r="N9" s="380"/>
      <c r="O9" s="380"/>
      <c r="P9" s="153">
        <f t="shared" si="2"/>
        <v>11541.030999999999</v>
      </c>
      <c r="Q9" s="381"/>
      <c r="R9" s="380"/>
      <c r="S9" s="382"/>
      <c r="T9" s="377"/>
      <c r="U9" s="769"/>
      <c r="V9" s="770"/>
    </row>
    <row r="10" spans="1:22" ht="47.4" customHeight="1" x14ac:dyDescent="0.3">
      <c r="A10" s="771">
        <v>3</v>
      </c>
      <c r="B10" s="395">
        <v>26111702</v>
      </c>
      <c r="C10" s="772" t="s">
        <v>1701</v>
      </c>
      <c r="D10" s="393" t="s">
        <v>1702</v>
      </c>
      <c r="E10" s="394" t="s">
        <v>1698</v>
      </c>
      <c r="F10" s="394" t="s">
        <v>511</v>
      </c>
      <c r="G10" s="773">
        <v>1</v>
      </c>
      <c r="H10" s="152" t="s">
        <v>1959</v>
      </c>
      <c r="I10" s="82">
        <f t="shared" si="1"/>
        <v>6620.6218487394963</v>
      </c>
      <c r="J10" s="80">
        <v>19</v>
      </c>
      <c r="K10" s="84">
        <v>7878.54</v>
      </c>
      <c r="L10" s="85">
        <f>IF(I10="","",(K10)*$G$10)</f>
        <v>7878.54</v>
      </c>
      <c r="M10" s="380">
        <f>IFERROR(AVERAGE(L10:L11),"")</f>
        <v>8188.77</v>
      </c>
      <c r="N10" s="380">
        <f>IFERROR(HARMEAN(L10:L11),"")</f>
        <v>8177.0169952263886</v>
      </c>
      <c r="O10" s="380">
        <f>IFERROR(MEDIAN(L10:L11),"")</f>
        <v>8188.77</v>
      </c>
      <c r="P10" s="153">
        <f t="shared" si="2"/>
        <v>7878.54</v>
      </c>
      <c r="Q10" s="381">
        <f>AVERAGE(P10:P11)</f>
        <v>8188.77</v>
      </c>
      <c r="R10" s="380">
        <f>IFERROR(_xlfn.STDEV.S(P10:P11),"")</f>
        <v>438.7314734550053</v>
      </c>
      <c r="S10" s="382">
        <f>IFERROR(R10/Q10,"")</f>
        <v>5.357721287262987E-2</v>
      </c>
      <c r="T10" s="377" t="s">
        <v>1973</v>
      </c>
      <c r="U10" s="769">
        <f>Q10</f>
        <v>8188.77</v>
      </c>
      <c r="V10" s="225" t="s">
        <v>1981</v>
      </c>
    </row>
    <row r="11" spans="1:22" ht="70.2" customHeight="1" x14ac:dyDescent="0.3">
      <c r="A11" s="771"/>
      <c r="B11" s="395"/>
      <c r="C11" s="772"/>
      <c r="D11" s="393"/>
      <c r="E11" s="394"/>
      <c r="F11" s="394"/>
      <c r="G11" s="773"/>
      <c r="H11" s="81" t="s">
        <v>1961</v>
      </c>
      <c r="I11" s="82">
        <f>IFERROR(K11/((100+J11)/100),"")</f>
        <v>7142.0168067226896</v>
      </c>
      <c r="J11" s="83">
        <f>IF(K11="","",(K11-(K11/1.19))/(K11/1.19)*100)</f>
        <v>18.999999999999993</v>
      </c>
      <c r="K11" s="84">
        <v>8499</v>
      </c>
      <c r="L11" s="85">
        <f>IF(I11="","",(K11)*$G$10)</f>
        <v>8499</v>
      </c>
      <c r="M11" s="380"/>
      <c r="N11" s="380"/>
      <c r="O11" s="380"/>
      <c r="P11" s="153">
        <f t="shared" si="2"/>
        <v>8499</v>
      </c>
      <c r="Q11" s="381"/>
      <c r="R11" s="380"/>
      <c r="S11" s="382"/>
      <c r="T11" s="377"/>
      <c r="U11" s="769"/>
      <c r="V11" s="225"/>
    </row>
    <row r="12" spans="1:22" ht="45" customHeight="1" x14ac:dyDescent="0.3">
      <c r="A12" s="771">
        <v>4</v>
      </c>
      <c r="B12" s="395">
        <v>15121803</v>
      </c>
      <c r="C12" s="772" t="s">
        <v>1703</v>
      </c>
      <c r="D12" s="393" t="s">
        <v>1704</v>
      </c>
      <c r="E12" s="394" t="s">
        <v>617</v>
      </c>
      <c r="F12" s="394">
        <v>1</v>
      </c>
      <c r="G12" s="773">
        <v>1</v>
      </c>
      <c r="H12" s="152" t="s">
        <v>1959</v>
      </c>
      <c r="I12" s="82">
        <f t="shared" si="1"/>
        <v>82978.495798319331</v>
      </c>
      <c r="J12" s="80">
        <v>19</v>
      </c>
      <c r="K12" s="84">
        <v>98744.41</v>
      </c>
      <c r="L12" s="85">
        <f>IF(I12="","",(K12)*$G$12)</f>
        <v>98744.41</v>
      </c>
      <c r="M12" s="380">
        <f>IFERROR(AVERAGE(L12:L14),"")</f>
        <v>81598.397333333342</v>
      </c>
      <c r="N12" s="380">
        <f>IFERROR(HARMEAN(L12:L14),"")</f>
        <v>79909.692982162611</v>
      </c>
      <c r="O12" s="380">
        <f>IFERROR(MEDIAN(L12:L14),"")</f>
        <v>75337.782000000007</v>
      </c>
      <c r="P12" s="153">
        <f t="shared" ref="P12:P18" si="4">IF(L12="","",L12)</f>
        <v>98744.41</v>
      </c>
      <c r="Q12" s="381">
        <f>AVERAGE(P12:P14)</f>
        <v>81598.397333333342</v>
      </c>
      <c r="R12" s="380">
        <f>IFERROR(_xlfn.STDEV.S(L12:L14),"")</f>
        <v>15027.856297922242</v>
      </c>
      <c r="S12" s="382">
        <f>IFERROR(R12/M12,"")</f>
        <v>0.18416852277787679</v>
      </c>
      <c r="T12" s="377" t="s">
        <v>1699</v>
      </c>
      <c r="U12" s="769">
        <f>Q12</f>
        <v>81598.397333333342</v>
      </c>
      <c r="V12" s="770" t="s">
        <v>1967</v>
      </c>
    </row>
    <row r="13" spans="1:22" ht="45" customHeight="1" x14ac:dyDescent="0.3">
      <c r="A13" s="771"/>
      <c r="B13" s="395"/>
      <c r="C13" s="772"/>
      <c r="D13" s="393"/>
      <c r="E13" s="394"/>
      <c r="F13" s="394"/>
      <c r="G13" s="773"/>
      <c r="H13" s="81" t="s">
        <v>1961</v>
      </c>
      <c r="I13" s="82">
        <f>IFERROR(K13/((100+J13)/100),"")</f>
        <v>59422.689075630253</v>
      </c>
      <c r="J13" s="83">
        <f>IF(K13="","",(K13-(K13/1.19))/(K13/1.19)*100)</f>
        <v>18.999999999999996</v>
      </c>
      <c r="K13" s="84">
        <v>70713</v>
      </c>
      <c r="L13" s="85">
        <f>IF(I13="","",(K13)*$G$12)</f>
        <v>70713</v>
      </c>
      <c r="M13" s="380"/>
      <c r="N13" s="380"/>
      <c r="O13" s="380"/>
      <c r="P13" s="154">
        <f t="shared" si="4"/>
        <v>70713</v>
      </c>
      <c r="Q13" s="381"/>
      <c r="R13" s="380"/>
      <c r="S13" s="382"/>
      <c r="T13" s="377"/>
      <c r="U13" s="769"/>
      <c r="V13" s="770"/>
    </row>
    <row r="14" spans="1:22" ht="45" customHeight="1" x14ac:dyDescent="0.3">
      <c r="A14" s="771"/>
      <c r="B14" s="395"/>
      <c r="C14" s="772"/>
      <c r="D14" s="393"/>
      <c r="E14" s="394"/>
      <c r="F14" s="394"/>
      <c r="G14" s="773"/>
      <c r="H14" s="81" t="s">
        <v>1700</v>
      </c>
      <c r="I14" s="82">
        <f t="shared" ref="I14" si="5">IFERROR(K14/((100+J14)/100),"")</f>
        <v>63309.06050420169</v>
      </c>
      <c r="J14" s="80">
        <v>19</v>
      </c>
      <c r="K14" s="84">
        <f>(71682*0.051)+71682</f>
        <v>75337.782000000007</v>
      </c>
      <c r="L14" s="85">
        <f>IF(I14="","",(K14)*$G$12)</f>
        <v>75337.782000000007</v>
      </c>
      <c r="M14" s="380"/>
      <c r="N14" s="380"/>
      <c r="O14" s="380"/>
      <c r="P14" s="153">
        <f t="shared" si="4"/>
        <v>75337.782000000007</v>
      </c>
      <c r="Q14" s="381"/>
      <c r="R14" s="380"/>
      <c r="S14" s="382"/>
      <c r="T14" s="377"/>
      <c r="U14" s="769"/>
      <c r="V14" s="770"/>
    </row>
    <row r="15" spans="1:22" ht="82.5" customHeight="1" x14ac:dyDescent="0.3">
      <c r="A15" s="771">
        <v>5</v>
      </c>
      <c r="B15" s="395">
        <v>26111702</v>
      </c>
      <c r="C15" s="772" t="s">
        <v>1705</v>
      </c>
      <c r="D15" s="393" t="s">
        <v>1706</v>
      </c>
      <c r="E15" s="394" t="s">
        <v>1698</v>
      </c>
      <c r="F15" s="394" t="s">
        <v>79</v>
      </c>
      <c r="G15" s="773">
        <v>1</v>
      </c>
      <c r="H15" s="152" t="s">
        <v>1959</v>
      </c>
      <c r="I15" s="82">
        <f t="shared" si="1"/>
        <v>3672.2352941176473</v>
      </c>
      <c r="J15" s="80">
        <v>19</v>
      </c>
      <c r="K15" s="84">
        <v>4369.96</v>
      </c>
      <c r="L15" s="85">
        <f>IF(I15="","",(K15)*$G$15)</f>
        <v>4369.96</v>
      </c>
      <c r="M15" s="380">
        <f>IFERROR(AVERAGE(L15:L16),"")</f>
        <v>7113.48</v>
      </c>
      <c r="N15" s="380">
        <f>IFERROR(HARMEAN(L15:L16),"")</f>
        <v>6055.3618931943292</v>
      </c>
      <c r="O15" s="380">
        <f>IFERROR(MEDIAN(L15:L16),"")</f>
        <v>7113.48</v>
      </c>
      <c r="P15" s="87">
        <f t="shared" si="4"/>
        <v>4369.96</v>
      </c>
      <c r="Q15" s="381">
        <f>IFERROR(SUM(P15:P16)/COUNTA(P15:P16),"")</f>
        <v>7113.48</v>
      </c>
      <c r="R15" s="380">
        <f>IFERROR(_xlfn.STDEV.S(L15:L16),"")</f>
        <v>3879.9231926418361</v>
      </c>
      <c r="S15" s="382">
        <f>IFERROR(R15/Q15,"")</f>
        <v>0.54543250176310842</v>
      </c>
      <c r="T15" s="377" t="s">
        <v>1960</v>
      </c>
      <c r="U15" s="769">
        <f>Q15</f>
        <v>7113.48</v>
      </c>
      <c r="V15" s="225" t="s">
        <v>2001</v>
      </c>
    </row>
    <row r="16" spans="1:22" ht="82.5" customHeight="1" x14ac:dyDescent="0.3">
      <c r="A16" s="771"/>
      <c r="B16" s="395"/>
      <c r="C16" s="772"/>
      <c r="D16" s="393"/>
      <c r="E16" s="394"/>
      <c r="F16" s="394"/>
      <c r="G16" s="773"/>
      <c r="H16" s="81" t="s">
        <v>1961</v>
      </c>
      <c r="I16" s="82">
        <f>IFERROR(K16/((100+J16)/100),"")</f>
        <v>8283.1932773109256</v>
      </c>
      <c r="J16" s="83">
        <v>19</v>
      </c>
      <c r="K16" s="84">
        <v>9857</v>
      </c>
      <c r="L16" s="85">
        <f>IF(I16="","",(K16)*$G$15)</f>
        <v>9857</v>
      </c>
      <c r="M16" s="380"/>
      <c r="N16" s="380"/>
      <c r="O16" s="380"/>
      <c r="P16" s="87">
        <f t="shared" si="4"/>
        <v>9857</v>
      </c>
      <c r="Q16" s="381"/>
      <c r="R16" s="380"/>
      <c r="S16" s="382"/>
      <c r="T16" s="377"/>
      <c r="U16" s="769"/>
      <c r="V16" s="225"/>
    </row>
    <row r="17" spans="1:22" ht="96" customHeight="1" x14ac:dyDescent="0.3">
      <c r="A17" s="771">
        <v>6</v>
      </c>
      <c r="B17" s="395">
        <v>14121703</v>
      </c>
      <c r="C17" s="772" t="s">
        <v>1707</v>
      </c>
      <c r="D17" s="393" t="s">
        <v>1708</v>
      </c>
      <c r="E17" s="394" t="s">
        <v>42</v>
      </c>
      <c r="F17" s="394" t="s">
        <v>72</v>
      </c>
      <c r="G17" s="773">
        <v>1</v>
      </c>
      <c r="H17" s="152" t="s">
        <v>1959</v>
      </c>
      <c r="I17" s="82">
        <f t="shared" si="1"/>
        <v>110873.40336134455</v>
      </c>
      <c r="J17" s="80">
        <v>19</v>
      </c>
      <c r="K17" s="84">
        <v>131939.35</v>
      </c>
      <c r="L17" s="85">
        <f>IF(I17="","",(K17)*$G$17)</f>
        <v>131939.35</v>
      </c>
      <c r="M17" s="380">
        <f>IFERROR(AVERAGE(L17:L18),"")</f>
        <v>125524.175</v>
      </c>
      <c r="N17" s="380">
        <f>IFERROR(HARMEAN(L17:L18),"")</f>
        <v>125196.31408969627</v>
      </c>
      <c r="O17" s="380">
        <f>IFERROR(MEDIAN(L17:L18),"")</f>
        <v>125524.175</v>
      </c>
      <c r="P17" s="87">
        <f t="shared" si="4"/>
        <v>131939.35</v>
      </c>
      <c r="Q17" s="381">
        <f>IFERROR(SUM(P17:P18)/COUNTA(P17:P18),"")</f>
        <v>125524.175</v>
      </c>
      <c r="R17" s="380">
        <f>IFERROR(_xlfn.STDEV.S(P17:P18),"")</f>
        <v>9072.4274899968241</v>
      </c>
      <c r="S17" s="382">
        <f>IFERROR(R17/Q17,"")</f>
        <v>7.2276336331203325E-2</v>
      </c>
      <c r="T17" s="377" t="s">
        <v>1960</v>
      </c>
      <c r="U17" s="769">
        <f>M17</f>
        <v>125524.175</v>
      </c>
      <c r="V17" s="225" t="s">
        <v>1968</v>
      </c>
    </row>
    <row r="18" spans="1:22" ht="96" customHeight="1" x14ac:dyDescent="0.3">
      <c r="A18" s="771"/>
      <c r="B18" s="395"/>
      <c r="C18" s="772"/>
      <c r="D18" s="393"/>
      <c r="E18" s="394"/>
      <c r="F18" s="394"/>
      <c r="G18" s="773"/>
      <c r="H18" s="81" t="s">
        <v>1961</v>
      </c>
      <c r="I18" s="82">
        <f>IFERROR(K18/((100+J18)/100),"")</f>
        <v>100091.59663865546</v>
      </c>
      <c r="J18" s="83">
        <f>IF(K18="","",(K18-(K18/1.19))/(K18/1.19)*100)</f>
        <v>18.999999999999996</v>
      </c>
      <c r="K18" s="84">
        <v>119109</v>
      </c>
      <c r="L18" s="85">
        <f>IF(I18="","",(K18)*$G$12)</f>
        <v>119109</v>
      </c>
      <c r="M18" s="380"/>
      <c r="N18" s="380"/>
      <c r="O18" s="380"/>
      <c r="P18" s="87">
        <f t="shared" si="4"/>
        <v>119109</v>
      </c>
      <c r="Q18" s="381"/>
      <c r="R18" s="380"/>
      <c r="S18" s="382"/>
      <c r="T18" s="377"/>
      <c r="U18" s="769"/>
      <c r="V18" s="225"/>
    </row>
    <row r="19" spans="1:22" ht="45" customHeight="1" x14ac:dyDescent="0.3">
      <c r="A19" s="771">
        <v>7</v>
      </c>
      <c r="B19" s="395">
        <v>30191501</v>
      </c>
      <c r="C19" s="772" t="s">
        <v>1709</v>
      </c>
      <c r="D19" s="393" t="s">
        <v>1709</v>
      </c>
      <c r="E19" s="394" t="s">
        <v>1698</v>
      </c>
      <c r="F19" s="394" t="s">
        <v>79</v>
      </c>
      <c r="G19" s="773">
        <v>1</v>
      </c>
      <c r="H19" s="152" t="s">
        <v>1959</v>
      </c>
      <c r="I19" s="82">
        <f t="shared" si="1"/>
        <v>211683.44537815126</v>
      </c>
      <c r="J19" s="80">
        <v>19</v>
      </c>
      <c r="K19" s="84">
        <v>251903.3</v>
      </c>
      <c r="L19" s="85">
        <f>IF(I19="","",(K19)*$G$19)</f>
        <v>251903.3</v>
      </c>
      <c r="M19" s="380">
        <f>IFERROR(AVERAGE(L19:L20),"")</f>
        <v>283022.65000000002</v>
      </c>
      <c r="N19" s="380">
        <f>IFERROR(HARMEAN(L19:L20),"")</f>
        <v>279600.96645480493</v>
      </c>
      <c r="O19" s="380">
        <f>IFERROR(MEDIAN(L19:L20),"")</f>
        <v>283022.65000000002</v>
      </c>
      <c r="P19" s="87">
        <f t="shared" ref="P19:P21" si="6">IF(L19="","",L19)</f>
        <v>251903.3</v>
      </c>
      <c r="Q19" s="381">
        <f>IFERROR(SUM(P19:P20)/COUNTA(L19:L20),"")</f>
        <v>283022.65000000002</v>
      </c>
      <c r="R19" s="380">
        <f>IFERROR(_xlfn.STDEV.S(L19:L20),"")</f>
        <v>44009.406822234843</v>
      </c>
      <c r="S19" s="382">
        <f>IFERROR(R19/M19,"")</f>
        <v>0.15549782613594651</v>
      </c>
      <c r="T19" s="377" t="s">
        <v>1960</v>
      </c>
      <c r="U19" s="769">
        <f>M19*G19</f>
        <v>283022.65000000002</v>
      </c>
      <c r="V19" s="225" t="s">
        <v>1969</v>
      </c>
    </row>
    <row r="20" spans="1:22" ht="45" customHeight="1" x14ac:dyDescent="0.3">
      <c r="A20" s="771"/>
      <c r="B20" s="395"/>
      <c r="C20" s="772"/>
      <c r="D20" s="393"/>
      <c r="E20" s="394"/>
      <c r="F20" s="394"/>
      <c r="G20" s="773"/>
      <c r="H20" s="81" t="s">
        <v>1961</v>
      </c>
      <c r="I20" s="82">
        <f t="shared" si="1"/>
        <v>263984.87394957984</v>
      </c>
      <c r="J20" s="83">
        <f t="shared" si="3"/>
        <v>18.999999999999996</v>
      </c>
      <c r="K20" s="84">
        <v>314142</v>
      </c>
      <c r="L20" s="85">
        <f>IF(I20="","",(K20)*$G$19)</f>
        <v>314142</v>
      </c>
      <c r="M20" s="380"/>
      <c r="N20" s="380"/>
      <c r="O20" s="380"/>
      <c r="P20" s="87">
        <f t="shared" si="6"/>
        <v>314142</v>
      </c>
      <c r="Q20" s="381"/>
      <c r="R20" s="380"/>
      <c r="S20" s="382"/>
      <c r="T20" s="377"/>
      <c r="U20" s="769"/>
      <c r="V20" s="225"/>
    </row>
    <row r="21" spans="1:22" ht="53.25" customHeight="1" x14ac:dyDescent="0.3">
      <c r="A21" s="771">
        <v>8</v>
      </c>
      <c r="B21" s="395">
        <v>26111702</v>
      </c>
      <c r="C21" s="772" t="s">
        <v>1710</v>
      </c>
      <c r="D21" s="393" t="s">
        <v>1711</v>
      </c>
      <c r="E21" s="394" t="s">
        <v>1698</v>
      </c>
      <c r="F21" s="394" t="s">
        <v>79</v>
      </c>
      <c r="G21" s="773">
        <v>1</v>
      </c>
      <c r="H21" s="152" t="s">
        <v>1959</v>
      </c>
      <c r="I21" s="82">
        <f t="shared" si="1"/>
        <v>7061.9747899159665</v>
      </c>
      <c r="J21" s="80">
        <v>19</v>
      </c>
      <c r="K21" s="84">
        <v>8403.75</v>
      </c>
      <c r="L21" s="85">
        <f>IF(I21="","",(K21)*$G$21)</f>
        <v>8403.75</v>
      </c>
      <c r="M21" s="380">
        <f>IFERROR(AVERAGE(L21:L22),"")</f>
        <v>29129.875</v>
      </c>
      <c r="N21" s="380">
        <f>IFERROR(HARMEAN(L21:L22),"")</f>
        <v>14383.081286823235</v>
      </c>
      <c r="O21" s="380">
        <f>IFERROR(MEDIAN(L21:L22),"")</f>
        <v>29129.875</v>
      </c>
      <c r="P21" s="87">
        <f t="shared" si="6"/>
        <v>8403.75</v>
      </c>
      <c r="Q21" s="381">
        <f>IFERROR(SUM(P21:P22)/COUNTA(P21:P22),"")</f>
        <v>253481.875</v>
      </c>
      <c r="R21" s="380">
        <f>IFERROR(_xlfn.STDEV.S(P21:P22),"")</f>
        <v>346592.80821596866</v>
      </c>
      <c r="S21" s="382">
        <f>IFERROR(R21/Q21,"")</f>
        <v>1.3673277752737496</v>
      </c>
      <c r="T21" s="377" t="s">
        <v>1963</v>
      </c>
      <c r="U21" s="769">
        <f>M21*G21</f>
        <v>29129.875</v>
      </c>
      <c r="V21" s="225" t="s">
        <v>1970</v>
      </c>
    </row>
    <row r="22" spans="1:22" ht="53.25" customHeight="1" x14ac:dyDescent="0.3">
      <c r="A22" s="771"/>
      <c r="B22" s="395"/>
      <c r="C22" s="772"/>
      <c r="D22" s="393"/>
      <c r="E22" s="394"/>
      <c r="F22" s="394"/>
      <c r="G22" s="773"/>
      <c r="H22" s="81" t="s">
        <v>1961</v>
      </c>
      <c r="I22" s="82">
        <f t="shared" si="1"/>
        <v>41895.798319327732</v>
      </c>
      <c r="J22" s="83">
        <f t="shared" si="3"/>
        <v>18.999999999999996</v>
      </c>
      <c r="K22" s="88">
        <v>49856</v>
      </c>
      <c r="L22" s="85">
        <f>IF(I22="","",(K22)*$G$21)</f>
        <v>49856</v>
      </c>
      <c r="M22" s="380"/>
      <c r="N22" s="380"/>
      <c r="O22" s="380"/>
      <c r="P22" s="87">
        <v>498560</v>
      </c>
      <c r="Q22" s="381"/>
      <c r="R22" s="380"/>
      <c r="S22" s="382"/>
      <c r="T22" s="377"/>
      <c r="U22" s="769"/>
      <c r="V22" s="225"/>
    </row>
    <row r="23" spans="1:22" ht="65.25" customHeight="1" x14ac:dyDescent="0.3">
      <c r="A23" s="771">
        <v>9</v>
      </c>
      <c r="B23" s="773">
        <v>26111702</v>
      </c>
      <c r="C23" s="772" t="s">
        <v>1712</v>
      </c>
      <c r="D23" s="393" t="s">
        <v>1713</v>
      </c>
      <c r="E23" s="394" t="s">
        <v>1698</v>
      </c>
      <c r="F23" s="394" t="s">
        <v>79</v>
      </c>
      <c r="G23" s="773">
        <v>1</v>
      </c>
      <c r="H23" s="152" t="s">
        <v>1959</v>
      </c>
      <c r="I23" s="82">
        <f t="shared" si="1"/>
        <v>39723.781512605048</v>
      </c>
      <c r="J23" s="80">
        <v>19</v>
      </c>
      <c r="K23" s="84">
        <v>47271.3</v>
      </c>
      <c r="L23" s="85">
        <f>IF(I23="","",(K23)*$G$23)</f>
        <v>47271.3</v>
      </c>
      <c r="M23" s="380">
        <f>IFERROR(AVERAGE(L23:L24),"")</f>
        <v>42760.15</v>
      </c>
      <c r="N23" s="380">
        <f>IFERROR(HARMEAN(L23:L24),"")</f>
        <v>42284.228509488392</v>
      </c>
      <c r="O23" s="380">
        <f>IFERROR(MEDIAN(L23:L24),"")</f>
        <v>42760.15</v>
      </c>
      <c r="P23" s="87">
        <f t="shared" ref="P23:P25" si="7">IF(L23="","",L23)</f>
        <v>47271.3</v>
      </c>
      <c r="Q23" s="381">
        <f>IFERROR(SUM(P23:P24)/COUNTA(L23:L24),"")</f>
        <v>42760.15</v>
      </c>
      <c r="R23" s="380">
        <f>IFERROR(_xlfn.STDEV.S(L23:L24),"")</f>
        <v>6379.7295118993861</v>
      </c>
      <c r="S23" s="382">
        <f>IFERROR(R23/M23,"")</f>
        <v>0.14919801525250462</v>
      </c>
      <c r="T23" s="377" t="s">
        <v>1963</v>
      </c>
      <c r="U23" s="769">
        <f>M23</f>
        <v>42760.15</v>
      </c>
      <c r="V23" s="770" t="s">
        <v>1971</v>
      </c>
    </row>
    <row r="24" spans="1:22" ht="65.25" customHeight="1" x14ac:dyDescent="0.3">
      <c r="A24" s="771"/>
      <c r="B24" s="773"/>
      <c r="C24" s="772"/>
      <c r="D24" s="393"/>
      <c r="E24" s="394"/>
      <c r="F24" s="394"/>
      <c r="G24" s="773"/>
      <c r="H24" s="81" t="s">
        <v>1961</v>
      </c>
      <c r="I24" s="82">
        <f t="shared" si="1"/>
        <v>32142.016806722691</v>
      </c>
      <c r="J24" s="83">
        <f t="shared" si="3"/>
        <v>18.999999999999993</v>
      </c>
      <c r="K24" s="88">
        <v>38249</v>
      </c>
      <c r="L24" s="85">
        <f>IF(I24="","",(K24)*$G$23)</f>
        <v>38249</v>
      </c>
      <c r="M24" s="380"/>
      <c r="N24" s="380"/>
      <c r="O24" s="380"/>
      <c r="P24" s="87">
        <f t="shared" si="7"/>
        <v>38249</v>
      </c>
      <c r="Q24" s="381"/>
      <c r="R24" s="380"/>
      <c r="S24" s="382"/>
      <c r="T24" s="377"/>
      <c r="U24" s="769"/>
      <c r="V24" s="770"/>
    </row>
    <row r="25" spans="1:22" ht="53.25" customHeight="1" x14ac:dyDescent="0.3">
      <c r="A25" s="771">
        <v>10</v>
      </c>
      <c r="B25" s="773">
        <v>26111702</v>
      </c>
      <c r="C25" s="772" t="s">
        <v>1714</v>
      </c>
      <c r="D25" s="393" t="s">
        <v>1715</v>
      </c>
      <c r="E25" s="394" t="s">
        <v>1698</v>
      </c>
      <c r="F25" s="394" t="s">
        <v>79</v>
      </c>
      <c r="G25" s="773">
        <v>1</v>
      </c>
      <c r="H25" s="152" t="s">
        <v>1959</v>
      </c>
      <c r="I25" s="82">
        <f t="shared" si="1"/>
        <v>11828.90756302521</v>
      </c>
      <c r="J25" s="80">
        <v>19</v>
      </c>
      <c r="K25" s="84">
        <v>14076.4</v>
      </c>
      <c r="L25" s="85">
        <f>IF(I25="","",(K25)*$G$25)</f>
        <v>14076.4</v>
      </c>
      <c r="M25" s="380">
        <f>IFERROR(AVERAGE(L25:L26),"")</f>
        <v>9349.7000000000007</v>
      </c>
      <c r="N25" s="380">
        <f>IFERROR(HARMEAN(L25:L26),"")</f>
        <v>6960.1374589559027</v>
      </c>
      <c r="O25" s="380">
        <f>IFERROR(MEDIAN(L25:L26),"")</f>
        <v>9349.7000000000007</v>
      </c>
      <c r="P25" s="87">
        <f t="shared" si="7"/>
        <v>14076.4</v>
      </c>
      <c r="Q25" s="381">
        <f>IFERROR(SUM(P25:P26)/COUNTA(K25:K26),"")</f>
        <v>9349.7000000000007</v>
      </c>
      <c r="R25" s="380">
        <f>IFERROR(_xlfn.STDEV.S(L25:L26),"")</f>
        <v>6684.5632452689042</v>
      </c>
      <c r="S25" s="382">
        <f>IFERROR(R25/M25,"")</f>
        <v>0.7149494898519636</v>
      </c>
      <c r="T25" s="377" t="s">
        <v>1963</v>
      </c>
      <c r="U25" s="769">
        <f>M25</f>
        <v>9349.7000000000007</v>
      </c>
      <c r="V25" s="770" t="s">
        <v>1972</v>
      </c>
    </row>
    <row r="26" spans="1:22" ht="53.25" customHeight="1" x14ac:dyDescent="0.3">
      <c r="A26" s="771"/>
      <c r="B26" s="773"/>
      <c r="C26" s="772"/>
      <c r="D26" s="393"/>
      <c r="E26" s="394"/>
      <c r="F26" s="394"/>
      <c r="G26" s="773"/>
      <c r="H26" s="81" t="s">
        <v>1961</v>
      </c>
      <c r="I26" s="82">
        <f t="shared" si="1"/>
        <v>3884.8739495798322</v>
      </c>
      <c r="J26" s="83">
        <f t="shared" si="3"/>
        <v>18.999999999999993</v>
      </c>
      <c r="K26" s="84">
        <v>4623</v>
      </c>
      <c r="L26" s="85">
        <f>IF(I26="","",(K26)*$G$25)</f>
        <v>4623</v>
      </c>
      <c r="M26" s="380"/>
      <c r="N26" s="380"/>
      <c r="O26" s="380"/>
      <c r="P26" s="87">
        <f>IF(L26="","",L26)</f>
        <v>4623</v>
      </c>
      <c r="Q26" s="381"/>
      <c r="R26" s="380"/>
      <c r="S26" s="382"/>
      <c r="T26" s="377"/>
      <c r="U26" s="769"/>
      <c r="V26" s="770"/>
    </row>
    <row r="27" spans="1:22" ht="51" customHeight="1" x14ac:dyDescent="0.3">
      <c r="A27" s="771">
        <v>11</v>
      </c>
      <c r="B27" s="395">
        <v>46171501</v>
      </c>
      <c r="C27" s="772" t="s">
        <v>1716</v>
      </c>
      <c r="D27" s="393" t="s">
        <v>1717</v>
      </c>
      <c r="E27" s="394" t="s">
        <v>1698</v>
      </c>
      <c r="F27" s="394" t="s">
        <v>79</v>
      </c>
      <c r="G27" s="773">
        <v>1</v>
      </c>
      <c r="H27" s="152" t="s">
        <v>1959</v>
      </c>
      <c r="I27" s="82">
        <f t="shared" si="1"/>
        <v>43961.008403361346</v>
      </c>
      <c r="J27" s="80">
        <v>19</v>
      </c>
      <c r="K27" s="84">
        <v>52313.599999999999</v>
      </c>
      <c r="L27" s="85">
        <f>IF(I27="","",(K27)*$G$27)</f>
        <v>52313.599999999999</v>
      </c>
      <c r="M27" s="380">
        <f>IFERROR(AVERAGE(L27:L28),"")</f>
        <v>49531.3</v>
      </c>
      <c r="N27" s="380">
        <f>IFERROR(HARMEAN(L27:L28),"")</f>
        <v>49375.011081881559</v>
      </c>
      <c r="O27" s="380">
        <f>IFERROR(MEDIAN(L27:L28),"")</f>
        <v>49531.3</v>
      </c>
      <c r="P27" s="87">
        <f>IF(L27="","",L27)</f>
        <v>52313.599999999999</v>
      </c>
      <c r="Q27" s="381">
        <f>IFERROR(SUM(P27:P28)/COUNTA(P27:P28),"")</f>
        <v>49531.3</v>
      </c>
      <c r="R27" s="380">
        <f>IFERROR(_xlfn.STDEV.S(P27:P28),"")</f>
        <v>3934.7663945906611</v>
      </c>
      <c r="S27" s="382">
        <f>IFERROR(R27/Q27,"")</f>
        <v>7.9439998437163178E-2</v>
      </c>
      <c r="T27" s="377" t="s">
        <v>1973</v>
      </c>
      <c r="U27" s="769">
        <f>M27</f>
        <v>49531.3</v>
      </c>
      <c r="V27" s="225" t="s">
        <v>1974</v>
      </c>
    </row>
    <row r="28" spans="1:22" ht="76.5" customHeight="1" x14ac:dyDescent="0.3">
      <c r="A28" s="771"/>
      <c r="B28" s="395"/>
      <c r="C28" s="772"/>
      <c r="D28" s="393"/>
      <c r="E28" s="394"/>
      <c r="F28" s="394"/>
      <c r="G28" s="773"/>
      <c r="H28" s="81" t="s">
        <v>1961</v>
      </c>
      <c r="I28" s="82">
        <f t="shared" si="1"/>
        <v>39284.873949579836</v>
      </c>
      <c r="J28" s="83">
        <f t="shared" si="3"/>
        <v>18.999999999999986</v>
      </c>
      <c r="K28" s="84">
        <v>46749</v>
      </c>
      <c r="L28" s="85">
        <f>IF(I28="","",(K28)*$G$27)</f>
        <v>46749</v>
      </c>
      <c r="M28" s="380"/>
      <c r="N28" s="380"/>
      <c r="O28" s="380"/>
      <c r="P28" s="87">
        <f t="shared" ref="P28" si="8">IF(L28="","",L28)</f>
        <v>46749</v>
      </c>
      <c r="Q28" s="381"/>
      <c r="R28" s="380"/>
      <c r="S28" s="382"/>
      <c r="T28" s="377"/>
      <c r="U28" s="769"/>
      <c r="V28" s="225"/>
    </row>
    <row r="29" spans="1:22" ht="71.400000000000006" customHeight="1" x14ac:dyDescent="0.3">
      <c r="A29" s="771">
        <v>12</v>
      </c>
      <c r="B29" s="395">
        <v>85151701</v>
      </c>
      <c r="C29" s="772" t="s">
        <v>1718</v>
      </c>
      <c r="D29" s="393" t="s">
        <v>1719</v>
      </c>
      <c r="E29" s="394" t="s">
        <v>1698</v>
      </c>
      <c r="F29" s="394" t="s">
        <v>79</v>
      </c>
      <c r="G29" s="395">
        <v>1</v>
      </c>
      <c r="H29" s="152" t="s">
        <v>1959</v>
      </c>
      <c r="I29" s="82">
        <f>IFERROR(K29/((100+J29)/100),"")</f>
        <v>2432930.2521008407</v>
      </c>
      <c r="J29" s="80">
        <v>19</v>
      </c>
      <c r="K29" s="84">
        <v>2895187</v>
      </c>
      <c r="L29" s="85">
        <f>IF(I29="","",(K29)*$G$31)</f>
        <v>2895187</v>
      </c>
      <c r="M29" s="380">
        <f>IFERROR(AVERAGE(L29:L30),"")</f>
        <v>2280593.5</v>
      </c>
      <c r="N29" s="380">
        <f>IFERROR(HARMEAN(L29:L30),"")</f>
        <v>2114967.6792466524</v>
      </c>
      <c r="O29" s="380">
        <f>IFERROR(MEDIAN(L29:L30),"")</f>
        <v>2280593.5</v>
      </c>
      <c r="P29" s="85">
        <v>2895187</v>
      </c>
      <c r="Q29" s="381">
        <f>IFERROR(SUM(P29:P30)/COUNTA(P29:P30),"")</f>
        <v>2280593.5</v>
      </c>
      <c r="R29" s="380">
        <f>IFERROR(_xlfn.STDEV.S(P29:P30),"")</f>
        <v>869166.46304634877</v>
      </c>
      <c r="S29" s="382">
        <f>IFERROR(R29/Q29,"")</f>
        <v>0.38111415429639206</v>
      </c>
      <c r="T29" s="377" t="s">
        <v>1963</v>
      </c>
      <c r="U29" s="769">
        <f>M29</f>
        <v>2280593.5</v>
      </c>
      <c r="V29" s="770" t="s">
        <v>1975</v>
      </c>
    </row>
    <row r="30" spans="1:22" ht="71.400000000000006" customHeight="1" x14ac:dyDescent="0.3">
      <c r="A30" s="771"/>
      <c r="B30" s="395"/>
      <c r="C30" s="772"/>
      <c r="D30" s="393"/>
      <c r="E30" s="394"/>
      <c r="F30" s="394"/>
      <c r="G30" s="395"/>
      <c r="H30" s="81" t="s">
        <v>1961</v>
      </c>
      <c r="I30" s="82">
        <f t="shared" ref="I30" si="9">IFERROR(K30/((100+J30)/100),"")</f>
        <v>1400000</v>
      </c>
      <c r="J30" s="83">
        <f t="shared" ref="J30" si="10">IF(K30="","",(K30-(K30/1.19))/(K30/1.19)*100)</f>
        <v>19</v>
      </c>
      <c r="K30" s="84">
        <v>1666000</v>
      </c>
      <c r="L30" s="85">
        <f>IF(I30="","",(K30)*$G$31)</f>
        <v>1666000</v>
      </c>
      <c r="M30" s="380"/>
      <c r="N30" s="380"/>
      <c r="O30" s="380"/>
      <c r="P30" s="87">
        <f>IF(L30="","",L30)</f>
        <v>1666000</v>
      </c>
      <c r="Q30" s="381"/>
      <c r="R30" s="380"/>
      <c r="S30" s="382"/>
      <c r="T30" s="377"/>
      <c r="U30" s="769"/>
      <c r="V30" s="770"/>
    </row>
    <row r="31" spans="1:22" ht="71.400000000000006" customHeight="1" x14ac:dyDescent="0.3">
      <c r="A31" s="771">
        <v>13</v>
      </c>
      <c r="B31" s="395">
        <v>85151701</v>
      </c>
      <c r="C31" s="393" t="s">
        <v>1720</v>
      </c>
      <c r="D31" s="393" t="s">
        <v>1721</v>
      </c>
      <c r="E31" s="394" t="s">
        <v>1698</v>
      </c>
      <c r="F31" s="394" t="s">
        <v>79</v>
      </c>
      <c r="G31" s="395">
        <v>1</v>
      </c>
      <c r="H31" s="152" t="s">
        <v>1959</v>
      </c>
      <c r="I31" s="82">
        <f t="shared" si="1"/>
        <v>471952.9411764706</v>
      </c>
      <c r="J31" s="80">
        <v>19</v>
      </c>
      <c r="K31" s="84">
        <v>561624</v>
      </c>
      <c r="L31" s="85">
        <f>IF(I31="","",(K31)*$G$31)</f>
        <v>561624</v>
      </c>
      <c r="M31" s="380">
        <f>IFERROR(AVERAGE(L31:L32),"")</f>
        <v>357311.5</v>
      </c>
      <c r="N31" s="380">
        <f>IFERROR(HARMEAN(L31:L32),"")</f>
        <v>240484.59222834979</v>
      </c>
      <c r="O31" s="380">
        <f>IFERROR(MEDIAN(L31:L32),"")</f>
        <v>357311.5</v>
      </c>
      <c r="P31" s="87">
        <f t="shared" ref="P31:P43" si="11">IF(L31="","",L31)</f>
        <v>561624</v>
      </c>
      <c r="Q31" s="381">
        <f>IFERROR(SUM(P31:P32)/COUNTA(P31:P32),"")</f>
        <v>357311.5</v>
      </c>
      <c r="R31" s="380">
        <f>IFERROR(_xlfn.STDEV.S(P31:P32),"")</f>
        <v>288941.50846235297</v>
      </c>
      <c r="S31" s="382">
        <f>IFERROR(R31/Q31,"")</f>
        <v>0.80865437709772281</v>
      </c>
      <c r="T31" s="377" t="s">
        <v>1963</v>
      </c>
      <c r="U31" s="769">
        <f>Q31</f>
        <v>357311.5</v>
      </c>
      <c r="V31" s="770" t="s">
        <v>1976</v>
      </c>
    </row>
    <row r="32" spans="1:22" ht="71.400000000000006" customHeight="1" x14ac:dyDescent="0.3">
      <c r="A32" s="771"/>
      <c r="B32" s="395"/>
      <c r="C32" s="393"/>
      <c r="D32" s="393"/>
      <c r="E32" s="394"/>
      <c r="F32" s="394"/>
      <c r="G32" s="395"/>
      <c r="H32" s="81" t="s">
        <v>1961</v>
      </c>
      <c r="I32" s="82">
        <f t="shared" si="1"/>
        <v>128570.58823529413</v>
      </c>
      <c r="J32" s="83">
        <f t="shared" si="3"/>
        <v>18.999999999999993</v>
      </c>
      <c r="K32" s="84">
        <v>152999</v>
      </c>
      <c r="L32" s="85">
        <f>IF(I32="","",(K32)*$G$31)</f>
        <v>152999</v>
      </c>
      <c r="M32" s="380"/>
      <c r="N32" s="380"/>
      <c r="O32" s="380"/>
      <c r="P32" s="87">
        <v>152999</v>
      </c>
      <c r="Q32" s="381"/>
      <c r="R32" s="380"/>
      <c r="S32" s="382"/>
      <c r="T32" s="377"/>
      <c r="U32" s="769"/>
      <c r="V32" s="770"/>
    </row>
    <row r="33" spans="1:22" ht="71.400000000000006" customHeight="1" x14ac:dyDescent="0.3">
      <c r="A33" s="771">
        <v>14</v>
      </c>
      <c r="B33" s="395">
        <v>85151701</v>
      </c>
      <c r="C33" s="393" t="s">
        <v>1722</v>
      </c>
      <c r="D33" s="393" t="s">
        <v>1723</v>
      </c>
      <c r="E33" s="394" t="s">
        <v>1698</v>
      </c>
      <c r="F33" s="394" t="s">
        <v>79</v>
      </c>
      <c r="G33" s="395">
        <v>1</v>
      </c>
      <c r="H33" s="152" t="s">
        <v>1959</v>
      </c>
      <c r="I33" s="82">
        <f t="shared" si="1"/>
        <v>471952.9411764706</v>
      </c>
      <c r="J33" s="80">
        <v>19</v>
      </c>
      <c r="K33" s="84">
        <v>561624</v>
      </c>
      <c r="L33" s="85">
        <f t="shared" ref="L33:L38" si="12">IF(I33="","",(K33)*$G$33)</f>
        <v>561624</v>
      </c>
      <c r="M33" s="380">
        <f>IFERROR(AVERAGE(L33:L34),"")</f>
        <v>705811.5</v>
      </c>
      <c r="N33" s="380">
        <f>IFERROR(HARMEAN(L33:L34),"")</f>
        <v>676355.99359885755</v>
      </c>
      <c r="O33" s="380">
        <f>IFERROR(MEDIAN(L33:L34),"")</f>
        <v>705811.5</v>
      </c>
      <c r="P33" s="87">
        <f>IF(L33="","",L33)</f>
        <v>561624</v>
      </c>
      <c r="Q33" s="381">
        <f>IFERROR(SUM(P33:P34)/COUNTA(P33:P34),"")</f>
        <v>705811.5</v>
      </c>
      <c r="R33" s="380">
        <f>IFERROR(_xlfn.STDEV.S(P33:P34),"")</f>
        <v>203911.91802467065</v>
      </c>
      <c r="S33" s="382">
        <f>IFERROR(R33/Q33,"")</f>
        <v>0.28890421596229399</v>
      </c>
      <c r="T33" s="377" t="s">
        <v>1963</v>
      </c>
      <c r="U33" s="769">
        <f>Q33</f>
        <v>705811.5</v>
      </c>
      <c r="V33" s="770" t="s">
        <v>1977</v>
      </c>
    </row>
    <row r="34" spans="1:22" ht="71.400000000000006" customHeight="1" x14ac:dyDescent="0.3">
      <c r="A34" s="771"/>
      <c r="B34" s="395"/>
      <c r="C34" s="393"/>
      <c r="D34" s="393"/>
      <c r="E34" s="394"/>
      <c r="F34" s="394"/>
      <c r="G34" s="395"/>
      <c r="H34" s="81" t="s">
        <v>1961</v>
      </c>
      <c r="I34" s="82">
        <f t="shared" si="1"/>
        <v>714284.87394957989</v>
      </c>
      <c r="J34" s="83">
        <f t="shared" ref="J34" si="13">IF(K34="","",(K34-(K34/1.19))/(K34/1.19)*100)</f>
        <v>18.999999999999989</v>
      </c>
      <c r="K34" s="84">
        <v>849999</v>
      </c>
      <c r="L34" s="85">
        <f t="shared" si="12"/>
        <v>849999</v>
      </c>
      <c r="M34" s="380"/>
      <c r="N34" s="380"/>
      <c r="O34" s="380"/>
      <c r="P34" s="87">
        <v>849999</v>
      </c>
      <c r="Q34" s="381"/>
      <c r="R34" s="380"/>
      <c r="S34" s="382"/>
      <c r="T34" s="377"/>
      <c r="U34" s="769"/>
      <c r="V34" s="770"/>
    </row>
    <row r="35" spans="1:22" ht="71.400000000000006" customHeight="1" x14ac:dyDescent="0.3">
      <c r="A35" s="771">
        <v>15</v>
      </c>
      <c r="B35" s="773">
        <v>85151701</v>
      </c>
      <c r="C35" s="393" t="s">
        <v>1724</v>
      </c>
      <c r="D35" s="393" t="s">
        <v>1725</v>
      </c>
      <c r="E35" s="394" t="s">
        <v>1698</v>
      </c>
      <c r="F35" s="394" t="s">
        <v>79</v>
      </c>
      <c r="G35" s="395">
        <v>1</v>
      </c>
      <c r="H35" s="152" t="s">
        <v>1959</v>
      </c>
      <c r="I35" s="82">
        <f t="shared" si="1"/>
        <v>758388.23529411771</v>
      </c>
      <c r="J35" s="80">
        <v>19</v>
      </c>
      <c r="K35" s="84">
        <v>902482</v>
      </c>
      <c r="L35" s="85">
        <f t="shared" si="12"/>
        <v>902482</v>
      </c>
      <c r="M35" s="380">
        <f>IFERROR(AVERAGE(L35:L36),"")</f>
        <v>663740.5</v>
      </c>
      <c r="N35" s="380">
        <f>IFERROR(HARMEAN(L35:L36),"")</f>
        <v>577867.32543516636</v>
      </c>
      <c r="O35" s="380">
        <f>IFERROR(MEDIAN(L35:L36),"")</f>
        <v>663740.5</v>
      </c>
      <c r="P35" s="155">
        <v>902482</v>
      </c>
      <c r="Q35" s="381">
        <f>IFERROR(SUM(P35:P36)/COUNTA(P35:P36),"")</f>
        <v>663740.5</v>
      </c>
      <c r="R35" s="380">
        <f>IFERROR(_xlfn.STDEV.S(P35:P36),"")</f>
        <v>337631.4672012963</v>
      </c>
      <c r="S35" s="382">
        <f>IFERROR(R35/Q35,"")</f>
        <v>0.5086799241590596</v>
      </c>
      <c r="T35" s="377" t="s">
        <v>1963</v>
      </c>
      <c r="U35" s="769">
        <f>Q35</f>
        <v>663740.5</v>
      </c>
      <c r="V35" s="770" t="s">
        <v>1978</v>
      </c>
    </row>
    <row r="36" spans="1:22" ht="71.400000000000006" customHeight="1" x14ac:dyDescent="0.3">
      <c r="A36" s="771"/>
      <c r="B36" s="773"/>
      <c r="C36" s="393"/>
      <c r="D36" s="393"/>
      <c r="E36" s="394"/>
      <c r="F36" s="394"/>
      <c r="G36" s="395"/>
      <c r="H36" s="81" t="s">
        <v>1961</v>
      </c>
      <c r="I36" s="82">
        <f t="shared" si="1"/>
        <v>357142.01680672268</v>
      </c>
      <c r="J36" s="83">
        <f t="shared" ref="J36" si="14">IF(K36="","",(K36-(K36/1.19))/(K36/1.19)*100)</f>
        <v>19.000000000000004</v>
      </c>
      <c r="K36" s="84">
        <v>424999</v>
      </c>
      <c r="L36" s="85">
        <f t="shared" si="12"/>
        <v>424999</v>
      </c>
      <c r="M36" s="380"/>
      <c r="N36" s="380"/>
      <c r="O36" s="380"/>
      <c r="P36" s="87">
        <f t="shared" ref="P36" si="15">IF(L36="","",L36)</f>
        <v>424999</v>
      </c>
      <c r="Q36" s="381"/>
      <c r="R36" s="380"/>
      <c r="S36" s="382"/>
      <c r="T36" s="377"/>
      <c r="U36" s="769"/>
      <c r="V36" s="770"/>
    </row>
    <row r="37" spans="1:22" ht="71.400000000000006" customHeight="1" x14ac:dyDescent="0.3">
      <c r="A37" s="771">
        <v>16</v>
      </c>
      <c r="B37" s="395">
        <v>85151701</v>
      </c>
      <c r="C37" s="393" t="s">
        <v>1726</v>
      </c>
      <c r="D37" s="393" t="s">
        <v>1727</v>
      </c>
      <c r="E37" s="394" t="s">
        <v>1698</v>
      </c>
      <c r="F37" s="394" t="s">
        <v>79</v>
      </c>
      <c r="G37" s="395">
        <v>1</v>
      </c>
      <c r="H37" s="152" t="s">
        <v>1959</v>
      </c>
      <c r="I37" s="82">
        <f t="shared" si="1"/>
        <v>1011773.1092436975</v>
      </c>
      <c r="J37" s="80">
        <v>19</v>
      </c>
      <c r="K37" s="84">
        <v>1204010</v>
      </c>
      <c r="L37" s="85">
        <f t="shared" si="12"/>
        <v>1204010</v>
      </c>
      <c r="M37" s="380">
        <f>IFERROR(AVERAGE(L37:L38),"")</f>
        <v>857004.5</v>
      </c>
      <c r="N37" s="380">
        <f>IFERROR(HARMEAN(L37:L38),"")</f>
        <v>716500.20039568061</v>
      </c>
      <c r="O37" s="380">
        <f>IFERROR(MEDIAN(L37:L38),"")</f>
        <v>857004.5</v>
      </c>
      <c r="P37" s="87">
        <v>1204010</v>
      </c>
      <c r="Q37" s="381">
        <f>IFERROR(SUM(P37:P38)/COUNTA(P37:P38),"")</f>
        <v>857004.5</v>
      </c>
      <c r="R37" s="380">
        <f>IFERROR(_xlfn.STDEV.S(P37:P38),"")</f>
        <v>490739.88431805704</v>
      </c>
      <c r="S37" s="382">
        <f>IFERROR(R37/Q37,"")</f>
        <v>0.57262229581998347</v>
      </c>
      <c r="T37" s="377" t="s">
        <v>1963</v>
      </c>
      <c r="U37" s="769">
        <f>Q37</f>
        <v>857004.5</v>
      </c>
      <c r="V37" s="770" t="s">
        <v>1983</v>
      </c>
    </row>
    <row r="38" spans="1:22" ht="71.400000000000006" customHeight="1" x14ac:dyDescent="0.3">
      <c r="A38" s="771"/>
      <c r="B38" s="395"/>
      <c r="C38" s="393"/>
      <c r="D38" s="393"/>
      <c r="E38" s="394"/>
      <c r="F38" s="394"/>
      <c r="G38" s="395"/>
      <c r="H38" s="81" t="s">
        <v>1961</v>
      </c>
      <c r="I38" s="82">
        <f t="shared" si="1"/>
        <v>428570.58823529416</v>
      </c>
      <c r="J38" s="83">
        <f t="shared" ref="J38" si="16">IF(K38="","",(K38-(K38/1.19))/(K38/1.19)*100)</f>
        <v>18.999999999999989</v>
      </c>
      <c r="K38" s="84">
        <v>509999</v>
      </c>
      <c r="L38" s="85">
        <f t="shared" si="12"/>
        <v>509999</v>
      </c>
      <c r="M38" s="380"/>
      <c r="N38" s="380"/>
      <c r="O38" s="380"/>
      <c r="P38" s="87">
        <f t="shared" ref="P38" si="17">IF(L38="","",L38)</f>
        <v>509999</v>
      </c>
      <c r="Q38" s="381"/>
      <c r="R38" s="380"/>
      <c r="S38" s="382"/>
      <c r="T38" s="377"/>
      <c r="U38" s="769"/>
      <c r="V38" s="770"/>
    </row>
    <row r="39" spans="1:22" ht="82.5" customHeight="1" x14ac:dyDescent="0.3">
      <c r="A39" s="771">
        <v>17</v>
      </c>
      <c r="B39" s="395">
        <v>27111543</v>
      </c>
      <c r="C39" s="393" t="s">
        <v>1728</v>
      </c>
      <c r="D39" s="393" t="s">
        <v>1729</v>
      </c>
      <c r="E39" s="394" t="s">
        <v>1698</v>
      </c>
      <c r="F39" s="394" t="s">
        <v>79</v>
      </c>
      <c r="G39" s="773">
        <v>1</v>
      </c>
      <c r="H39" s="152" t="s">
        <v>1959</v>
      </c>
      <c r="I39" s="82">
        <f t="shared" si="1"/>
        <v>147772.26890756303</v>
      </c>
      <c r="J39" s="80">
        <v>19</v>
      </c>
      <c r="K39" s="84">
        <v>175849</v>
      </c>
      <c r="L39" s="85">
        <f>IF(I39="","",(K39)*$G$39)</f>
        <v>175849</v>
      </c>
      <c r="M39" s="380">
        <f>IFERROR(AVERAGE(L39:L41),"")</f>
        <v>151789.66666666666</v>
      </c>
      <c r="N39" s="380">
        <f>IFERROR(HARMEAN(L39:L41),"")</f>
        <v>144574.43728949095</v>
      </c>
      <c r="O39" s="380">
        <f>IFERROR(MEDIAN(L39:L41),"")</f>
        <v>171020</v>
      </c>
      <c r="P39" s="87">
        <f>IF(L39="","",L39)</f>
        <v>175849</v>
      </c>
      <c r="Q39" s="381">
        <f>IFERROR(SUM(P39:P41)/COUNTA(P39:P41),"")</f>
        <v>151789.66666666666</v>
      </c>
      <c r="R39" s="380">
        <f>IFERROR(_xlfn.STDEV.S(P39:P41),"")</f>
        <v>37567.622234223658</v>
      </c>
      <c r="S39" s="382">
        <f>IFERROR(R39/Q39,"")</f>
        <v>0.24749789006864978</v>
      </c>
      <c r="T39" s="377" t="s">
        <v>1964</v>
      </c>
      <c r="U39" s="769">
        <f>Q39</f>
        <v>151789.66666666666</v>
      </c>
      <c r="V39" s="770" t="s">
        <v>1979</v>
      </c>
    </row>
    <row r="40" spans="1:22" ht="82.5" customHeight="1" x14ac:dyDescent="0.3">
      <c r="A40" s="771"/>
      <c r="B40" s="395"/>
      <c r="C40" s="393"/>
      <c r="D40" s="393"/>
      <c r="E40" s="394"/>
      <c r="F40" s="394"/>
      <c r="G40" s="773"/>
      <c r="H40" s="81" t="s">
        <v>1961</v>
      </c>
      <c r="I40" s="82">
        <f t="shared" si="1"/>
        <v>143714.28571428571</v>
      </c>
      <c r="J40" s="83">
        <f t="shared" ref="J40" si="18">IF(K40="","",(K40-(K40/1.19))/(K40/1.19)*100)</f>
        <v>19.000000000000004</v>
      </c>
      <c r="K40" s="84">
        <v>171020</v>
      </c>
      <c r="L40" s="85">
        <f>IF(I40="","",(K40)*$G$39)</f>
        <v>171020</v>
      </c>
      <c r="M40" s="380"/>
      <c r="N40" s="380"/>
      <c r="O40" s="380"/>
      <c r="P40" s="87">
        <f>IF(L40="","",L40)</f>
        <v>171020</v>
      </c>
      <c r="Q40" s="381"/>
      <c r="R40" s="380"/>
      <c r="S40" s="382"/>
      <c r="T40" s="377"/>
      <c r="U40" s="769"/>
      <c r="V40" s="770"/>
    </row>
    <row r="41" spans="1:22" ht="87" customHeight="1" x14ac:dyDescent="0.3">
      <c r="A41" s="771"/>
      <c r="B41" s="395"/>
      <c r="C41" s="393"/>
      <c r="D41" s="393"/>
      <c r="E41" s="394"/>
      <c r="F41" s="394"/>
      <c r="G41" s="773"/>
      <c r="H41" s="81" t="s">
        <v>1700</v>
      </c>
      <c r="I41" s="82">
        <f t="shared" si="1"/>
        <v>106338.23697478992</v>
      </c>
      <c r="J41" s="80">
        <v>19</v>
      </c>
      <c r="K41" s="84">
        <f>(120402*0.051)+120402</f>
        <v>126542.50199999999</v>
      </c>
      <c r="L41" s="85">
        <v>108500</v>
      </c>
      <c r="M41" s="380"/>
      <c r="N41" s="380"/>
      <c r="O41" s="380"/>
      <c r="P41" s="87">
        <f>IF(L41="","",L41)</f>
        <v>108500</v>
      </c>
      <c r="Q41" s="381"/>
      <c r="R41" s="380"/>
      <c r="S41" s="382"/>
      <c r="T41" s="377"/>
      <c r="U41" s="769"/>
      <c r="V41" s="770"/>
    </row>
    <row r="42" spans="1:22" ht="70.95" customHeight="1" x14ac:dyDescent="0.3">
      <c r="A42" s="771">
        <v>18</v>
      </c>
      <c r="B42" s="395">
        <v>53131624</v>
      </c>
      <c r="C42" s="393" t="s">
        <v>1730</v>
      </c>
      <c r="D42" s="393" t="s">
        <v>1731</v>
      </c>
      <c r="E42" s="394" t="s">
        <v>1698</v>
      </c>
      <c r="F42" s="394" t="s">
        <v>79</v>
      </c>
      <c r="G42" s="773">
        <v>1</v>
      </c>
      <c r="H42" s="81" t="s">
        <v>1961</v>
      </c>
      <c r="I42" s="82">
        <f t="shared" ref="I42" si="19">IFERROR(K42/((100+J42)/100),"")</f>
        <v>60000</v>
      </c>
      <c r="J42" s="83">
        <f t="shared" ref="J42" si="20">IF(K42="","",(K42-(K42/1.19))/(K42/1.19)*100)</f>
        <v>19</v>
      </c>
      <c r="K42" s="88">
        <v>71400</v>
      </c>
      <c r="L42" s="85">
        <f>IF(I42="","",(K42)*$G$42)</f>
        <v>71400</v>
      </c>
      <c r="M42" s="380">
        <f>IFERROR(AVERAGE(L42:L43),"")</f>
        <v>174200</v>
      </c>
      <c r="N42" s="380">
        <f>IFERROR(HARMEAN(L42:L43),"")</f>
        <v>113535.01722158438</v>
      </c>
      <c r="O42" s="380">
        <f>IFERROR(MEDIAN(L42:L43),"")</f>
        <v>174200</v>
      </c>
      <c r="P42" s="87">
        <f>IF(L42="","",L42)</f>
        <v>71400</v>
      </c>
      <c r="Q42" s="381">
        <f>IFERROR(SUM(P42:P43)/COUNTA(P42:P43),"")</f>
        <v>174200</v>
      </c>
      <c r="R42" s="380">
        <f>IFERROR(_xlfn.STDEV.S(P42:P43),"")</f>
        <v>145381.15421195418</v>
      </c>
      <c r="S42" s="382">
        <f>IFERROR(R42/Q42,"")</f>
        <v>0.83456460512028807</v>
      </c>
      <c r="T42" s="377" t="s">
        <v>1982</v>
      </c>
      <c r="U42" s="769">
        <f>Q42</f>
        <v>174200</v>
      </c>
      <c r="V42" s="774" t="s">
        <v>1980</v>
      </c>
    </row>
    <row r="43" spans="1:22" ht="71.400000000000006" customHeight="1" x14ac:dyDescent="0.3">
      <c r="A43" s="771"/>
      <c r="B43" s="395"/>
      <c r="C43" s="393"/>
      <c r="D43" s="393"/>
      <c r="E43" s="394"/>
      <c r="F43" s="394"/>
      <c r="G43" s="773"/>
      <c r="H43" s="81" t="s">
        <v>1700</v>
      </c>
      <c r="I43" s="82">
        <f t="shared" si="1"/>
        <v>101745.6319327731</v>
      </c>
      <c r="J43" s="80">
        <v>19</v>
      </c>
      <c r="K43" s="84">
        <f>(115202*0.051)+115202</f>
        <v>121077.302</v>
      </c>
      <c r="L43" s="85">
        <v>277000</v>
      </c>
      <c r="M43" s="380"/>
      <c r="N43" s="380"/>
      <c r="O43" s="380"/>
      <c r="P43" s="87">
        <f t="shared" si="11"/>
        <v>277000</v>
      </c>
      <c r="Q43" s="381"/>
      <c r="R43" s="380"/>
      <c r="S43" s="382"/>
      <c r="T43" s="377"/>
      <c r="U43" s="769"/>
      <c r="V43" s="774"/>
    </row>
    <row r="44" spans="1:22" x14ac:dyDescent="0.3">
      <c r="U44" s="59"/>
    </row>
    <row r="45" spans="1:22" x14ac:dyDescent="0.3">
      <c r="U45" s="206">
        <f>SUM(U5:U44)</f>
        <v>5843563.176</v>
      </c>
    </row>
  </sheetData>
  <mergeCells count="316">
    <mergeCell ref="Q42:Q43"/>
    <mergeCell ref="R42:R43"/>
    <mergeCell ref="S39:S41"/>
    <mergeCell ref="T39:T41"/>
    <mergeCell ref="U39:U41"/>
    <mergeCell ref="V39:V41"/>
    <mergeCell ref="A42:A43"/>
    <mergeCell ref="B42:B43"/>
    <mergeCell ref="C42:C43"/>
    <mergeCell ref="D42:D43"/>
    <mergeCell ref="E42:E43"/>
    <mergeCell ref="F42:F43"/>
    <mergeCell ref="G39:G41"/>
    <mergeCell ref="M39:M41"/>
    <mergeCell ref="N39:N41"/>
    <mergeCell ref="O39:O41"/>
    <mergeCell ref="Q39:Q41"/>
    <mergeCell ref="R39:R41"/>
    <mergeCell ref="S42:S43"/>
    <mergeCell ref="T42:T43"/>
    <mergeCell ref="U42:U43"/>
    <mergeCell ref="V42:V43"/>
    <mergeCell ref="G42:G43"/>
    <mergeCell ref="M42:M43"/>
    <mergeCell ref="N42:N43"/>
    <mergeCell ref="O42:O43"/>
    <mergeCell ref="A39:A41"/>
    <mergeCell ref="B39:B41"/>
    <mergeCell ref="C39:C41"/>
    <mergeCell ref="D39:D41"/>
    <mergeCell ref="E39:E41"/>
    <mergeCell ref="F39:F41"/>
    <mergeCell ref="G37:G38"/>
    <mergeCell ref="M37:M38"/>
    <mergeCell ref="N37:N38"/>
    <mergeCell ref="T35:T36"/>
    <mergeCell ref="U35:U36"/>
    <mergeCell ref="V35:V36"/>
    <mergeCell ref="A37:A38"/>
    <mergeCell ref="B37:B38"/>
    <mergeCell ref="C37:C38"/>
    <mergeCell ref="D37:D38"/>
    <mergeCell ref="E37:E38"/>
    <mergeCell ref="F37:F38"/>
    <mergeCell ref="G35:G36"/>
    <mergeCell ref="M35:M36"/>
    <mergeCell ref="N35:N36"/>
    <mergeCell ref="O35:O36"/>
    <mergeCell ref="Q35:Q36"/>
    <mergeCell ref="R35:R36"/>
    <mergeCell ref="S37:S38"/>
    <mergeCell ref="T37:T38"/>
    <mergeCell ref="U37:U38"/>
    <mergeCell ref="V37:V38"/>
    <mergeCell ref="O37:O38"/>
    <mergeCell ref="Q37:Q38"/>
    <mergeCell ref="R37:R38"/>
    <mergeCell ref="A35:A36"/>
    <mergeCell ref="B35:B36"/>
    <mergeCell ref="C35:C36"/>
    <mergeCell ref="D35:D36"/>
    <mergeCell ref="E35:E36"/>
    <mergeCell ref="F35:F36"/>
    <mergeCell ref="G33:G34"/>
    <mergeCell ref="M33:M34"/>
    <mergeCell ref="N33:N34"/>
    <mergeCell ref="S31:S32"/>
    <mergeCell ref="C31:C32"/>
    <mergeCell ref="D31:D32"/>
    <mergeCell ref="E31:E32"/>
    <mergeCell ref="F31:F32"/>
    <mergeCell ref="S35:S36"/>
    <mergeCell ref="T31:T32"/>
    <mergeCell ref="U31:U32"/>
    <mergeCell ref="V31:V32"/>
    <mergeCell ref="A33:A34"/>
    <mergeCell ref="B33:B34"/>
    <mergeCell ref="C33:C34"/>
    <mergeCell ref="D33:D34"/>
    <mergeCell ref="E33:E34"/>
    <mergeCell ref="F33:F34"/>
    <mergeCell ref="G31:G32"/>
    <mergeCell ref="M31:M32"/>
    <mergeCell ref="N31:N32"/>
    <mergeCell ref="O31:O32"/>
    <mergeCell ref="Q31:Q32"/>
    <mergeCell ref="R31:R32"/>
    <mergeCell ref="S33:S34"/>
    <mergeCell ref="T33:T34"/>
    <mergeCell ref="U33:U34"/>
    <mergeCell ref="V33:V34"/>
    <mergeCell ref="O33:O34"/>
    <mergeCell ref="Q33:Q34"/>
    <mergeCell ref="R33:R34"/>
    <mergeCell ref="A31:A32"/>
    <mergeCell ref="B31:B32"/>
    <mergeCell ref="S27:S28"/>
    <mergeCell ref="T27:T28"/>
    <mergeCell ref="U27:U28"/>
    <mergeCell ref="V27:V28"/>
    <mergeCell ref="A29:A30"/>
    <mergeCell ref="B29:B30"/>
    <mergeCell ref="C29:C30"/>
    <mergeCell ref="D29:D30"/>
    <mergeCell ref="E29:E30"/>
    <mergeCell ref="F29:F30"/>
    <mergeCell ref="G27:G28"/>
    <mergeCell ref="M27:M28"/>
    <mergeCell ref="N27:N28"/>
    <mergeCell ref="O27:O28"/>
    <mergeCell ref="Q27:Q28"/>
    <mergeCell ref="R27:R28"/>
    <mergeCell ref="S29:S30"/>
    <mergeCell ref="T29:T30"/>
    <mergeCell ref="U29:U30"/>
    <mergeCell ref="V29:V30"/>
    <mergeCell ref="O29:O30"/>
    <mergeCell ref="Q29:Q30"/>
    <mergeCell ref="R29:R30"/>
    <mergeCell ref="A27:A28"/>
    <mergeCell ref="B27:B28"/>
    <mergeCell ref="C27:C28"/>
    <mergeCell ref="D27:D28"/>
    <mergeCell ref="E27:E28"/>
    <mergeCell ref="F27:F28"/>
    <mergeCell ref="G25:G26"/>
    <mergeCell ref="M25:M26"/>
    <mergeCell ref="N25:N26"/>
    <mergeCell ref="G29:G30"/>
    <mergeCell ref="M29:M30"/>
    <mergeCell ref="N29:N30"/>
    <mergeCell ref="T23:T24"/>
    <mergeCell ref="U23:U24"/>
    <mergeCell ref="V23:V24"/>
    <mergeCell ref="A25:A26"/>
    <mergeCell ref="B25:B26"/>
    <mergeCell ref="C25:C26"/>
    <mergeCell ref="D25:D26"/>
    <mergeCell ref="E25:E26"/>
    <mergeCell ref="F25:F26"/>
    <mergeCell ref="G23:G24"/>
    <mergeCell ref="M23:M24"/>
    <mergeCell ref="N23:N24"/>
    <mergeCell ref="O23:O24"/>
    <mergeCell ref="Q23:Q24"/>
    <mergeCell ref="R23:R24"/>
    <mergeCell ref="S25:S26"/>
    <mergeCell ref="T25:T26"/>
    <mergeCell ref="U25:U26"/>
    <mergeCell ref="V25:V26"/>
    <mergeCell ref="O25:O26"/>
    <mergeCell ref="Q25:Q26"/>
    <mergeCell ref="R25:R26"/>
    <mergeCell ref="A23:A24"/>
    <mergeCell ref="B23:B24"/>
    <mergeCell ref="C23:C24"/>
    <mergeCell ref="D23:D24"/>
    <mergeCell ref="E23:E24"/>
    <mergeCell ref="F23:F24"/>
    <mergeCell ref="G21:G22"/>
    <mergeCell ref="M21:M22"/>
    <mergeCell ref="N21:N22"/>
    <mergeCell ref="S19:S20"/>
    <mergeCell ref="C19:C20"/>
    <mergeCell ref="D19:D20"/>
    <mergeCell ref="E19:E20"/>
    <mergeCell ref="F19:F20"/>
    <mergeCell ref="S23:S24"/>
    <mergeCell ref="T19:T20"/>
    <mergeCell ref="U19:U20"/>
    <mergeCell ref="V19:V20"/>
    <mergeCell ref="A21:A22"/>
    <mergeCell ref="B21:B22"/>
    <mergeCell ref="C21:C22"/>
    <mergeCell ref="D21:D22"/>
    <mergeCell ref="E21:E22"/>
    <mergeCell ref="F21:F22"/>
    <mergeCell ref="G19:G20"/>
    <mergeCell ref="M19:M20"/>
    <mergeCell ref="N19:N20"/>
    <mergeCell ref="O19:O20"/>
    <mergeCell ref="Q19:Q20"/>
    <mergeCell ref="R19:R20"/>
    <mergeCell ref="S21:S22"/>
    <mergeCell ref="T21:T22"/>
    <mergeCell ref="U21:U22"/>
    <mergeCell ref="V21:V22"/>
    <mergeCell ref="O21:O22"/>
    <mergeCell ref="Q21:Q22"/>
    <mergeCell ref="R21:R22"/>
    <mergeCell ref="A19:A20"/>
    <mergeCell ref="B19:B20"/>
    <mergeCell ref="U15:U16"/>
    <mergeCell ref="V15:V16"/>
    <mergeCell ref="A17:A18"/>
    <mergeCell ref="B17:B18"/>
    <mergeCell ref="C17:C18"/>
    <mergeCell ref="D17:D18"/>
    <mergeCell ref="E17:E18"/>
    <mergeCell ref="F17:F18"/>
    <mergeCell ref="G15:G16"/>
    <mergeCell ref="M15:M16"/>
    <mergeCell ref="N15:N16"/>
    <mergeCell ref="O15:O16"/>
    <mergeCell ref="Q15:Q16"/>
    <mergeCell ref="R15:R16"/>
    <mergeCell ref="S17:S18"/>
    <mergeCell ref="T17:T18"/>
    <mergeCell ref="U17:U18"/>
    <mergeCell ref="V17:V18"/>
    <mergeCell ref="O17:O18"/>
    <mergeCell ref="S12:S14"/>
    <mergeCell ref="T12:T14"/>
    <mergeCell ref="U12:U14"/>
    <mergeCell ref="V12:V14"/>
    <mergeCell ref="O12:O14"/>
    <mergeCell ref="Q12:Q14"/>
    <mergeCell ref="R12:R14"/>
    <mergeCell ref="A10:A11"/>
    <mergeCell ref="Q17:Q18"/>
    <mergeCell ref="R17:R18"/>
    <mergeCell ref="A15:A16"/>
    <mergeCell ref="B15:B16"/>
    <mergeCell ref="C15:C16"/>
    <mergeCell ref="D15:D16"/>
    <mergeCell ref="E15:E16"/>
    <mergeCell ref="F15:F16"/>
    <mergeCell ref="G12:G14"/>
    <mergeCell ref="M12:M14"/>
    <mergeCell ref="N12:N14"/>
    <mergeCell ref="G17:G18"/>
    <mergeCell ref="M17:M18"/>
    <mergeCell ref="N17:N18"/>
    <mergeCell ref="S15:S16"/>
    <mergeCell ref="T15:T16"/>
    <mergeCell ref="A12:A14"/>
    <mergeCell ref="B12:B14"/>
    <mergeCell ref="C12:C14"/>
    <mergeCell ref="D12:D14"/>
    <mergeCell ref="E12:E14"/>
    <mergeCell ref="F12:F14"/>
    <mergeCell ref="G10:G11"/>
    <mergeCell ref="M10:M11"/>
    <mergeCell ref="N10:N11"/>
    <mergeCell ref="S5:S6"/>
    <mergeCell ref="C5:C6"/>
    <mergeCell ref="D5:D6"/>
    <mergeCell ref="E5:E6"/>
    <mergeCell ref="F5:F6"/>
    <mergeCell ref="S10:S11"/>
    <mergeCell ref="T10:T11"/>
    <mergeCell ref="U10:U11"/>
    <mergeCell ref="V10:V11"/>
    <mergeCell ref="O10:O11"/>
    <mergeCell ref="Q10:Q11"/>
    <mergeCell ref="R10:R11"/>
    <mergeCell ref="Q7:Q9"/>
    <mergeCell ref="R7:R9"/>
    <mergeCell ref="N7:N9"/>
    <mergeCell ref="A5:A6"/>
    <mergeCell ref="B5:B6"/>
    <mergeCell ref="B10:B11"/>
    <mergeCell ref="C10:C11"/>
    <mergeCell ref="D10:D11"/>
    <mergeCell ref="E10:E11"/>
    <mergeCell ref="F10:F11"/>
    <mergeCell ref="G7:G9"/>
    <mergeCell ref="M7:M9"/>
    <mergeCell ref="I3:I4"/>
    <mergeCell ref="J3:J4"/>
    <mergeCell ref="K3:K4"/>
    <mergeCell ref="L3:L4"/>
    <mergeCell ref="T5:T6"/>
    <mergeCell ref="U5:U6"/>
    <mergeCell ref="V5:V6"/>
    <mergeCell ref="A7:A9"/>
    <mergeCell ref="B7:B9"/>
    <mergeCell ref="C7:C9"/>
    <mergeCell ref="D7:D9"/>
    <mergeCell ref="E7:E9"/>
    <mergeCell ref="F7:F9"/>
    <mergeCell ref="G5:G6"/>
    <mergeCell ref="M5:M6"/>
    <mergeCell ref="N5:N6"/>
    <mergeCell ref="O5:O6"/>
    <mergeCell ref="Q5:Q6"/>
    <mergeCell ref="R5:R6"/>
    <mergeCell ref="S7:S9"/>
    <mergeCell ref="T7:T9"/>
    <mergeCell ref="U7:U9"/>
    <mergeCell ref="V7:V9"/>
    <mergeCell ref="O7:O9"/>
    <mergeCell ref="A3:A4"/>
    <mergeCell ref="B3:B4"/>
    <mergeCell ref="V1:V2"/>
    <mergeCell ref="C3:C4"/>
    <mergeCell ref="D3:D4"/>
    <mergeCell ref="E3:E4"/>
    <mergeCell ref="F3:F4"/>
    <mergeCell ref="A1:B2"/>
    <mergeCell ref="C1:G2"/>
    <mergeCell ref="H1:L2"/>
    <mergeCell ref="M1:T2"/>
    <mergeCell ref="U1:U2"/>
    <mergeCell ref="S3:S4"/>
    <mergeCell ref="T3:T4"/>
    <mergeCell ref="U3:U4"/>
    <mergeCell ref="V3:V4"/>
    <mergeCell ref="P3:P4"/>
    <mergeCell ref="Q3:Q4"/>
    <mergeCell ref="R3:R4"/>
    <mergeCell ref="M3:M4"/>
    <mergeCell ref="N3:N4"/>
    <mergeCell ref="O3:O4"/>
    <mergeCell ref="G3:G4"/>
    <mergeCell ref="H3:H4"/>
  </mergeCells>
  <conditionalFormatting sqref="A5:D6 A10:A11 A15:A16 A19:A20 A23:A24 A27 A42">
    <cfRule type="containsBlanks" dxfId="40" priority="5">
      <formula>LEN(TRIM(A5))=0</formula>
    </cfRule>
  </conditionalFormatting>
  <conditionalFormatting sqref="B7:D8 B10:D13 B15:D27 B42:D42">
    <cfRule type="containsBlanks" dxfId="39" priority="4">
      <formula>LEN(TRIM(B7))=0</formula>
    </cfRule>
  </conditionalFormatting>
  <conditionalFormatting sqref="G5:G8 G10:G13 G15:G27 G29:G40 G42">
    <cfRule type="containsBlanks" dxfId="38" priority="1">
      <formula>LEN(TRIM(G5))=0</formula>
    </cfRule>
  </conditionalFormatting>
  <conditionalFormatting sqref="H5:H43 K5:K43 B29:D40">
    <cfRule type="containsBlanks" dxfId="37" priority="2">
      <formula>LEN(TRIM(B5))=0</formula>
    </cfRule>
  </conditionalFormatting>
  <conditionalFormatting sqref="I5:J43 A33:A38">
    <cfRule type="containsBlanks" dxfId="36" priority="3">
      <formula>LEN(TRIM(A5))=0</formula>
    </cfRule>
  </conditionalFormatting>
  <conditionalFormatting sqref="P30:P34 P5:P7 P9:P12 P36:P43 P14:P28">
    <cfRule type="dataBar" priority="1541">
      <dataBar>
        <cfvo type="min"/>
        <cfvo type="max"/>
        <color rgb="FFC2D2E8"/>
      </dataBar>
      <extLst>
        <ext xmlns:x14="http://schemas.microsoft.com/office/spreadsheetml/2009/9/main" uri="{B025F937-C7B1-47D3-B67F-A62EFF666E3E}">
          <x14:id>{283BA9D5-620A-4930-B9A7-EF522341F773}</x14:id>
        </ext>
      </extLst>
    </cfRule>
  </conditionalFormatting>
  <dataValidations count="1">
    <dataValidation allowBlank="1" showInputMessage="1" sqref="E5:E9" xr:uid="{2574AECC-3538-461D-90E5-67AE3DC9DABB}"/>
  </dataValidations>
  <pageMargins left="0.25" right="0.25" top="0.75" bottom="0.75" header="0.3" footer="0.3"/>
  <pageSetup paperSize="9" scale="38" fitToHeight="0" orientation="landscape" horizontalDpi="300" verticalDpi="300" r:id="rId1"/>
  <legacyDrawing r:id="rId2"/>
  <extLst>
    <ext xmlns:x14="http://schemas.microsoft.com/office/spreadsheetml/2009/9/main" uri="{78C0D931-6437-407d-A8EE-F0AAD7539E65}">
      <x14:conditionalFormattings>
        <x14:conditionalFormatting xmlns:xm="http://schemas.microsoft.com/office/excel/2006/main">
          <x14:cfRule type="dataBar" id="{283BA9D5-620A-4930-B9A7-EF522341F773}">
            <x14:dataBar minLength="0" maxLength="100" gradient="0">
              <x14:cfvo type="autoMin"/>
              <x14:cfvo type="autoMax"/>
              <x14:negativeFillColor rgb="FFFF0000"/>
              <x14:axisColor rgb="FF000000"/>
            </x14:dataBar>
          </x14:cfRule>
          <xm:sqref>P30:P34 P5:P7 P9:P12 P36:P43 P14:P28</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6813B-2388-499F-87CF-3CF28E1F4BA1}">
  <dimension ref="A1:V12"/>
  <sheetViews>
    <sheetView zoomScaleNormal="100" zoomScaleSheetLayoutView="145" workbookViewId="0">
      <pane xSplit="3" ySplit="4" topLeftCell="D5" activePane="bottomRight" state="frozen"/>
      <selection pane="topRight" activeCell="H1" sqref="H1"/>
      <selection pane="bottomLeft" activeCell="H1" sqref="H1"/>
      <selection pane="bottomRight" activeCell="W8" sqref="W8"/>
    </sheetView>
  </sheetViews>
  <sheetFormatPr baseColWidth="10" defaultColWidth="11.44140625" defaultRowHeight="14.4" outlineLevelCol="1" x14ac:dyDescent="0.3"/>
  <cols>
    <col min="1" max="1" width="7.88671875" style="2" customWidth="1"/>
    <col min="2" max="2" width="9" style="2" bestFit="1" customWidth="1"/>
    <col min="3" max="3" width="15.6640625" style="2" customWidth="1"/>
    <col min="4" max="4" width="30.5546875" style="2" customWidth="1"/>
    <col min="5" max="5" width="13.44140625" style="2" customWidth="1"/>
    <col min="6" max="6" width="14.6640625" style="2" customWidth="1"/>
    <col min="7" max="7" width="13" style="2" customWidth="1"/>
    <col min="8" max="8" width="20.5546875" style="2" customWidth="1" outlineLevel="1"/>
    <col min="9" max="9" width="11.44140625" style="1" customWidth="1" outlineLevel="1"/>
    <col min="10" max="10" width="11.44140625" style="2" customWidth="1" outlineLevel="1"/>
    <col min="11" max="11" width="15.6640625" style="1" customWidth="1" outlineLevel="1"/>
    <col min="12" max="12" width="15.88671875" style="3" customWidth="1"/>
    <col min="13" max="15" width="15.88671875" style="4" customWidth="1"/>
    <col min="16" max="16" width="17.88671875" style="3" customWidth="1"/>
    <col min="17" max="17" width="22.109375" style="4" customWidth="1"/>
    <col min="18" max="18" width="17.88671875" style="3" customWidth="1"/>
    <col min="19" max="19" width="17" style="2" customWidth="1"/>
    <col min="20" max="21" width="16.88671875" style="2" customWidth="1"/>
    <col min="22" max="22" width="45.109375" style="2" customWidth="1"/>
    <col min="23" max="16384" width="11.44140625" style="2"/>
  </cols>
  <sheetData>
    <row r="1" spans="1:22" ht="15" customHeight="1" x14ac:dyDescent="0.3">
      <c r="A1" s="811" t="s">
        <v>0</v>
      </c>
      <c r="B1" s="812"/>
      <c r="C1" s="812"/>
      <c r="D1" s="812"/>
      <c r="E1" s="812"/>
      <c r="F1" s="812"/>
      <c r="G1" s="813"/>
      <c r="H1" s="817" t="s">
        <v>1</v>
      </c>
      <c r="I1" s="818"/>
      <c r="J1" s="818"/>
      <c r="K1" s="818"/>
      <c r="L1" s="819"/>
      <c r="M1" s="823" t="s">
        <v>2</v>
      </c>
      <c r="N1" s="824"/>
      <c r="O1" s="824"/>
      <c r="P1" s="824"/>
      <c r="Q1" s="824"/>
      <c r="R1" s="824"/>
      <c r="S1" s="824"/>
      <c r="T1" s="824"/>
      <c r="U1" s="824"/>
      <c r="V1" s="825"/>
    </row>
    <row r="2" spans="1:22" x14ac:dyDescent="0.3">
      <c r="A2" s="814"/>
      <c r="B2" s="815"/>
      <c r="C2" s="815"/>
      <c r="D2" s="815"/>
      <c r="E2" s="815"/>
      <c r="F2" s="815"/>
      <c r="G2" s="816"/>
      <c r="H2" s="820"/>
      <c r="I2" s="821"/>
      <c r="J2" s="821"/>
      <c r="K2" s="821"/>
      <c r="L2" s="822"/>
      <c r="M2" s="826"/>
      <c r="N2" s="827"/>
      <c r="O2" s="827"/>
      <c r="P2" s="827"/>
      <c r="Q2" s="827"/>
      <c r="R2" s="827"/>
      <c r="S2" s="827"/>
      <c r="T2" s="827"/>
      <c r="U2" s="827"/>
      <c r="V2" s="828"/>
    </row>
    <row r="3" spans="1:22" ht="15" customHeight="1" x14ac:dyDescent="0.3">
      <c r="A3" s="829" t="s">
        <v>3</v>
      </c>
      <c r="B3" s="829" t="s">
        <v>4</v>
      </c>
      <c r="C3" s="829" t="s">
        <v>5</v>
      </c>
      <c r="D3" s="829" t="s">
        <v>6</v>
      </c>
      <c r="E3" s="831" t="s">
        <v>7</v>
      </c>
      <c r="F3" s="831" t="s">
        <v>8</v>
      </c>
      <c r="G3" s="829" t="s">
        <v>9</v>
      </c>
      <c r="H3" s="801" t="s">
        <v>10</v>
      </c>
      <c r="I3" s="803" t="s">
        <v>11</v>
      </c>
      <c r="J3" s="805" t="s">
        <v>12</v>
      </c>
      <c r="K3" s="807" t="s">
        <v>13</v>
      </c>
      <c r="L3" s="809" t="s">
        <v>14</v>
      </c>
      <c r="M3" s="799" t="s">
        <v>15</v>
      </c>
      <c r="N3" s="799" t="s">
        <v>16</v>
      </c>
      <c r="O3" s="799" t="s">
        <v>17</v>
      </c>
      <c r="P3" s="837" t="s">
        <v>18</v>
      </c>
      <c r="Q3" s="799" t="s">
        <v>19</v>
      </c>
      <c r="R3" s="839" t="s">
        <v>20</v>
      </c>
      <c r="S3" s="841" t="s">
        <v>21</v>
      </c>
      <c r="T3" s="833" t="s">
        <v>22</v>
      </c>
      <c r="U3" s="835" t="s">
        <v>23</v>
      </c>
      <c r="V3" s="833" t="s">
        <v>652</v>
      </c>
    </row>
    <row r="4" spans="1:22" ht="36.75" customHeight="1" x14ac:dyDescent="0.3">
      <c r="A4" s="830"/>
      <c r="B4" s="830"/>
      <c r="C4" s="830"/>
      <c r="D4" s="830"/>
      <c r="E4" s="832"/>
      <c r="F4" s="832"/>
      <c r="G4" s="830"/>
      <c r="H4" s="802"/>
      <c r="I4" s="804"/>
      <c r="J4" s="806"/>
      <c r="K4" s="808"/>
      <c r="L4" s="810"/>
      <c r="M4" s="800"/>
      <c r="N4" s="800"/>
      <c r="O4" s="800"/>
      <c r="P4" s="838"/>
      <c r="Q4" s="800"/>
      <c r="R4" s="840"/>
      <c r="S4" s="842"/>
      <c r="T4" s="834"/>
      <c r="U4" s="836"/>
      <c r="V4" s="834"/>
    </row>
    <row r="5" spans="1:22" ht="27.9" customHeight="1" x14ac:dyDescent="0.3">
      <c r="A5" s="786">
        <v>1</v>
      </c>
      <c r="B5" s="793">
        <v>44101500</v>
      </c>
      <c r="C5" s="430" t="s">
        <v>1732</v>
      </c>
      <c r="D5" s="430" t="s">
        <v>1732</v>
      </c>
      <c r="E5" s="788" t="s">
        <v>570</v>
      </c>
      <c r="F5" s="788" t="s">
        <v>570</v>
      </c>
      <c r="G5" s="7">
        <v>1</v>
      </c>
      <c r="H5" s="17" t="s">
        <v>1733</v>
      </c>
      <c r="I5" s="8">
        <v>1848655</v>
      </c>
      <c r="J5" s="9">
        <v>19</v>
      </c>
      <c r="K5" s="10">
        <f>(I5*0.19)+I5</f>
        <v>2199899.4500000002</v>
      </c>
      <c r="L5" s="11">
        <f>IF(I5=0,"",(K5)*$G$5)</f>
        <v>2199899.4500000002</v>
      </c>
      <c r="M5" s="777">
        <f>IF(L5="","",AVERAGE(L5:L6))</f>
        <v>2199899.4500000002</v>
      </c>
      <c r="N5" s="777">
        <f>IFERROR(HARMEAN(L5:L6),"")</f>
        <v>2199899.4500000002</v>
      </c>
      <c r="O5" s="797">
        <f>IFERROR(MEDIAN(L5:L6),"")</f>
        <v>2199899.4500000002</v>
      </c>
      <c r="P5" s="90">
        <f>IF(L5="","",L5)</f>
        <v>2199899.4500000002</v>
      </c>
      <c r="Q5" s="775">
        <v>0</v>
      </c>
      <c r="R5" s="777">
        <f>IFERROR(_xlfn.STDEV.S(P5:P6),"")</f>
        <v>0</v>
      </c>
      <c r="S5" s="779">
        <f>IFERROR(R5/M5,"")</f>
        <v>0</v>
      </c>
      <c r="T5" s="781" t="s">
        <v>1734</v>
      </c>
      <c r="U5" s="777">
        <v>2199899.4500000002</v>
      </c>
      <c r="V5" s="91"/>
    </row>
    <row r="6" spans="1:22" ht="39" customHeight="1" x14ac:dyDescent="0.3">
      <c r="A6" s="787"/>
      <c r="B6" s="794"/>
      <c r="C6" s="431"/>
      <c r="D6" s="431"/>
      <c r="E6" s="789" t="s">
        <v>570</v>
      </c>
      <c r="F6" s="789" t="s">
        <v>570</v>
      </c>
      <c r="G6" s="7">
        <v>1</v>
      </c>
      <c r="H6" s="12" t="s">
        <v>1735</v>
      </c>
      <c r="I6" s="8">
        <v>1848655</v>
      </c>
      <c r="J6" s="13">
        <v>19</v>
      </c>
      <c r="K6" s="10">
        <f t="shared" ref="K6:K10" si="0">(I6*0.19)+I6</f>
        <v>2199899.4500000002</v>
      </c>
      <c r="L6" s="11">
        <f>IF(I6=0,"",(K6)*$G$6)</f>
        <v>2199899.4500000002</v>
      </c>
      <c r="M6" s="778"/>
      <c r="N6" s="778"/>
      <c r="O6" s="798"/>
      <c r="P6" s="90">
        <f>IF(L6="","",L6)</f>
        <v>2199899.4500000002</v>
      </c>
      <c r="Q6" s="776"/>
      <c r="R6" s="778"/>
      <c r="S6" s="780"/>
      <c r="T6" s="782"/>
      <c r="U6" s="778"/>
      <c r="V6" s="92"/>
    </row>
    <row r="7" spans="1:22" ht="27.9" customHeight="1" x14ac:dyDescent="0.3">
      <c r="A7" s="786">
        <f>A5+1</f>
        <v>2</v>
      </c>
      <c r="B7" s="793">
        <v>45121520</v>
      </c>
      <c r="C7" s="430" t="s">
        <v>1986</v>
      </c>
      <c r="D7" s="430" t="s">
        <v>1736</v>
      </c>
      <c r="E7" s="788" t="s">
        <v>570</v>
      </c>
      <c r="F7" s="788" t="s">
        <v>570</v>
      </c>
      <c r="G7" s="7">
        <v>1</v>
      </c>
      <c r="H7" s="17" t="s">
        <v>1733</v>
      </c>
      <c r="I7" s="8">
        <v>5505150</v>
      </c>
      <c r="J7" s="13">
        <v>19</v>
      </c>
      <c r="K7" s="10">
        <f t="shared" si="0"/>
        <v>6551128.5</v>
      </c>
      <c r="L7" s="11">
        <f>IF(I7=0,"",(K7)*$G$7)</f>
        <v>6551128.5</v>
      </c>
      <c r="M7" s="777">
        <f>IF(L7="","",AVERAGE(L7:L8))</f>
        <v>6548788.96</v>
      </c>
      <c r="N7" s="777">
        <f>IFERROR(HARMEAN(L7:L8),"")</f>
        <v>6548788.1242046431</v>
      </c>
      <c r="O7" s="797">
        <f>IFERROR(MEDIAN(L7:L8),"")</f>
        <v>6548788.96</v>
      </c>
      <c r="P7" s="90">
        <f t="shared" ref="P7:P10" si="1">IF(L7="","",L7)</f>
        <v>6551128.5</v>
      </c>
      <c r="Q7" s="775">
        <v>1</v>
      </c>
      <c r="R7" s="777">
        <f>IFERROR(_xlfn.STDEV.S(L7:L8),"")</f>
        <v>3308.6091977144033</v>
      </c>
      <c r="S7" s="779">
        <f>IFERROR(R7/M7,"")</f>
        <v>5.0522458700736684E-4</v>
      </c>
      <c r="T7" s="781" t="s">
        <v>1734</v>
      </c>
      <c r="U7" s="791">
        <v>6548788.96</v>
      </c>
      <c r="V7" s="93"/>
    </row>
    <row r="8" spans="1:22" ht="63.6" customHeight="1" x14ac:dyDescent="0.3">
      <c r="A8" s="787"/>
      <c r="B8" s="794"/>
      <c r="C8" s="431"/>
      <c r="D8" s="431"/>
      <c r="E8" s="789" t="s">
        <v>570</v>
      </c>
      <c r="F8" s="789" t="s">
        <v>570</v>
      </c>
      <c r="G8" s="7">
        <v>1</v>
      </c>
      <c r="H8" s="12" t="s">
        <v>1735</v>
      </c>
      <c r="I8" s="8">
        <v>5501218</v>
      </c>
      <c r="J8" s="13">
        <v>19</v>
      </c>
      <c r="K8" s="10">
        <f t="shared" si="0"/>
        <v>6546449.4199999999</v>
      </c>
      <c r="L8" s="11">
        <f>IF(I8=0,"",(K8)*$G$8)</f>
        <v>6546449.4199999999</v>
      </c>
      <c r="M8" s="778"/>
      <c r="N8" s="778"/>
      <c r="O8" s="798"/>
      <c r="P8" s="90">
        <f t="shared" si="1"/>
        <v>6546449.4199999999</v>
      </c>
      <c r="Q8" s="776"/>
      <c r="R8" s="778"/>
      <c r="S8" s="780"/>
      <c r="T8" s="782"/>
      <c r="U8" s="792"/>
      <c r="V8" s="94"/>
    </row>
    <row r="9" spans="1:22" ht="27.9" customHeight="1" x14ac:dyDescent="0.3">
      <c r="A9" s="786">
        <v>3</v>
      </c>
      <c r="B9" s="795">
        <v>23271700</v>
      </c>
      <c r="C9" s="796" t="s">
        <v>1737</v>
      </c>
      <c r="D9" s="796" t="s">
        <v>1737</v>
      </c>
      <c r="E9" s="788" t="s">
        <v>570</v>
      </c>
      <c r="F9" s="788" t="s">
        <v>570</v>
      </c>
      <c r="G9" s="7">
        <v>1</v>
      </c>
      <c r="H9" s="17" t="s">
        <v>1733</v>
      </c>
      <c r="I9" s="8">
        <v>80888.89</v>
      </c>
      <c r="J9" s="13">
        <v>19</v>
      </c>
      <c r="K9" s="10">
        <f>(I9*0.19)+I9</f>
        <v>96257.7791</v>
      </c>
      <c r="L9" s="11">
        <f>IF(I9=0,"",(K9)*$G$9)</f>
        <v>96257.7791</v>
      </c>
      <c r="M9" s="777">
        <f>IF(L9="","",AVERAGE(L9:L10))</f>
        <v>94538.889549999993</v>
      </c>
      <c r="N9" s="777">
        <f>IFERROR(HARMEAN(L9:L10),"")</f>
        <v>94507.637000925606</v>
      </c>
      <c r="O9" s="777">
        <f>IFERROR(MEDIAN(L9:L10),"")</f>
        <v>94538.889549999993</v>
      </c>
      <c r="P9" s="95">
        <f t="shared" si="1"/>
        <v>96257.7791</v>
      </c>
      <c r="Q9" s="775">
        <v>2</v>
      </c>
      <c r="R9" s="777">
        <f>IFERROR(_xlfn.STDEV.S(L9:L10),"")</f>
        <v>2430.876913831386</v>
      </c>
      <c r="S9" s="779">
        <f>IFERROR(R9/M9,"")</f>
        <v>2.5712983571123258E-2</v>
      </c>
      <c r="T9" s="781" t="s">
        <v>1734</v>
      </c>
      <c r="U9" s="791">
        <v>94538.889549999993</v>
      </c>
      <c r="V9" s="93"/>
    </row>
    <row r="10" spans="1:22" ht="27.9" customHeight="1" x14ac:dyDescent="0.3">
      <c r="A10" s="787"/>
      <c r="B10" s="790"/>
      <c r="C10" s="454"/>
      <c r="D10" s="454"/>
      <c r="E10" s="789" t="s">
        <v>570</v>
      </c>
      <c r="F10" s="789" t="s">
        <v>570</v>
      </c>
      <c r="G10" s="7">
        <v>1</v>
      </c>
      <c r="H10" s="14" t="s">
        <v>1738</v>
      </c>
      <c r="I10" s="8">
        <v>78000</v>
      </c>
      <c r="J10" s="13">
        <v>19</v>
      </c>
      <c r="K10" s="10">
        <f t="shared" si="0"/>
        <v>92820</v>
      </c>
      <c r="L10" s="11">
        <f>IF(I10=0,"",(K10)*$G$10)</f>
        <v>92820</v>
      </c>
      <c r="M10" s="778"/>
      <c r="N10" s="778"/>
      <c r="O10" s="778"/>
      <c r="P10" s="95">
        <f t="shared" si="1"/>
        <v>92820</v>
      </c>
      <c r="Q10" s="776"/>
      <c r="R10" s="778"/>
      <c r="S10" s="780"/>
      <c r="T10" s="782"/>
      <c r="U10" s="792"/>
      <c r="V10" s="94"/>
    </row>
    <row r="11" spans="1:22" ht="27.9" customHeight="1" x14ac:dyDescent="0.3">
      <c r="A11" s="783" t="s">
        <v>1739</v>
      </c>
      <c r="B11" s="784"/>
      <c r="C11" s="784"/>
      <c r="D11" s="784"/>
      <c r="E11" s="784"/>
      <c r="F11" s="784"/>
      <c r="G11" s="784"/>
      <c r="H11" s="784"/>
      <c r="I11" s="784"/>
      <c r="J11" s="784"/>
      <c r="K11" s="784"/>
      <c r="L11" s="784"/>
      <c r="M11" s="784"/>
      <c r="N11" s="784"/>
      <c r="O11" s="784"/>
      <c r="P11" s="784"/>
      <c r="Q11" s="784"/>
      <c r="R11" s="784"/>
      <c r="S11" s="784"/>
      <c r="T11" s="785"/>
      <c r="U11" s="207">
        <f>SUM(U5:U10)</f>
        <v>8843227.2995500006</v>
      </c>
      <c r="V11" s="100"/>
    </row>
    <row r="12" spans="1:22" x14ac:dyDescent="0.3">
      <c r="Q12" s="4" t="s">
        <v>403</v>
      </c>
    </row>
  </sheetData>
  <mergeCells count="68">
    <mergeCell ref="A1:G2"/>
    <mergeCell ref="H1:L2"/>
    <mergeCell ref="M1:V2"/>
    <mergeCell ref="A3:A4"/>
    <mergeCell ref="B3:B4"/>
    <mergeCell ref="C3:C4"/>
    <mergeCell ref="D3:D4"/>
    <mergeCell ref="E3:E4"/>
    <mergeCell ref="F3:F4"/>
    <mergeCell ref="G3:G4"/>
    <mergeCell ref="T3:T4"/>
    <mergeCell ref="U3:U4"/>
    <mergeCell ref="V3:V4"/>
    <mergeCell ref="P3:P4"/>
    <mergeCell ref="Q3:Q4"/>
    <mergeCell ref="R3:R4"/>
    <mergeCell ref="S3:S4"/>
    <mergeCell ref="D5:D6"/>
    <mergeCell ref="E5:E6"/>
    <mergeCell ref="F5:F6"/>
    <mergeCell ref="M5:M6"/>
    <mergeCell ref="N3:N4"/>
    <mergeCell ref="O3:O4"/>
    <mergeCell ref="H3:H4"/>
    <mergeCell ref="I3:I4"/>
    <mergeCell ref="J3:J4"/>
    <mergeCell ref="K3:K4"/>
    <mergeCell ref="L3:L4"/>
    <mergeCell ref="M3:M4"/>
    <mergeCell ref="U5:U6"/>
    <mergeCell ref="A7:A8"/>
    <mergeCell ref="B7:B8"/>
    <mergeCell ref="C7:C8"/>
    <mergeCell ref="D7:D8"/>
    <mergeCell ref="E7:E8"/>
    <mergeCell ref="F7:F8"/>
    <mergeCell ref="M7:M8"/>
    <mergeCell ref="N7:N8"/>
    <mergeCell ref="O7:O8"/>
    <mergeCell ref="N5:N6"/>
    <mergeCell ref="O5:O6"/>
    <mergeCell ref="Q5:Q6"/>
    <mergeCell ref="R5:R6"/>
    <mergeCell ref="S5:S6"/>
    <mergeCell ref="T5:T6"/>
    <mergeCell ref="Q7:Q8"/>
    <mergeCell ref="R7:R8"/>
    <mergeCell ref="S7:S8"/>
    <mergeCell ref="T7:T8"/>
    <mergeCell ref="U7:U8"/>
    <mergeCell ref="A5:A6"/>
    <mergeCell ref="B5:B6"/>
    <mergeCell ref="C5:C6"/>
    <mergeCell ref="A9:A10"/>
    <mergeCell ref="B9:B10"/>
    <mergeCell ref="C9:C10"/>
    <mergeCell ref="D9:D10"/>
    <mergeCell ref="E9:E10"/>
    <mergeCell ref="S9:S10"/>
    <mergeCell ref="T9:T10"/>
    <mergeCell ref="U9:U10"/>
    <mergeCell ref="F9:F10"/>
    <mergeCell ref="M9:M10"/>
    <mergeCell ref="N9:N10"/>
    <mergeCell ref="O9:O10"/>
    <mergeCell ref="Q9:Q10"/>
    <mergeCell ref="R9:R10"/>
    <mergeCell ref="A11:T11"/>
  </mergeCells>
  <dataValidations count="1">
    <dataValidation type="list" allowBlank="1" showInputMessage="1" showErrorMessage="1" sqref="U7:U10" xr:uid="{B81E9B46-5974-4502-A4A6-0EABD813F620}">
      <formula1>#REF!</formula1>
    </dataValidation>
  </dataValidations>
  <pageMargins left="0.25" right="0.25" top="0.75" bottom="0.75" header="0.3" footer="0.3"/>
  <pageSetup paperSize="5" scale="46" orientation="landscape" horizontalDpi="300" verticalDpi="30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3982D-249D-41A1-8762-A507860792BE}">
  <dimension ref="A1:V16"/>
  <sheetViews>
    <sheetView zoomScale="85" zoomScaleNormal="85" workbookViewId="0">
      <pane xSplit="3" ySplit="4" topLeftCell="D5" activePane="bottomRight" state="frozen"/>
      <selection pane="topRight" activeCell="D1" sqref="D1"/>
      <selection pane="bottomLeft" activeCell="A5" sqref="A5"/>
      <selection pane="bottomRight" activeCell="D13" sqref="D13:D14"/>
    </sheetView>
  </sheetViews>
  <sheetFormatPr baseColWidth="10" defaultColWidth="11.44140625" defaultRowHeight="14.4" outlineLevelCol="1" x14ac:dyDescent="0.3"/>
  <cols>
    <col min="1" max="1" width="7.44140625" style="2" customWidth="1"/>
    <col min="2" max="2" width="12.6640625" style="2" customWidth="1"/>
    <col min="3" max="3" width="24" style="2" customWidth="1"/>
    <col min="4" max="4" width="29.88671875" style="2" customWidth="1"/>
    <col min="5" max="5" width="12.33203125" style="2" customWidth="1"/>
    <col min="6" max="6" width="12.5546875" style="2" customWidth="1"/>
    <col min="7" max="7" width="11.44140625" style="2"/>
    <col min="8" max="8" width="20.5546875" style="2" customWidth="1" outlineLevel="1"/>
    <col min="9" max="9" width="11.44140625" style="1" customWidth="1" outlineLevel="1"/>
    <col min="10" max="10" width="11.44140625" style="2" customWidth="1" outlineLevel="1"/>
    <col min="11" max="11" width="15.6640625" style="1" customWidth="1" outlineLevel="1"/>
    <col min="12" max="12" width="15.88671875" style="3" customWidth="1" outlineLevel="1"/>
    <col min="13" max="15" width="15.88671875" style="4" customWidth="1"/>
    <col min="16" max="16" width="17.88671875" style="3" customWidth="1"/>
    <col min="17" max="17" width="17.88671875" style="4" customWidth="1"/>
    <col min="18" max="18" width="17.88671875" style="3" customWidth="1"/>
    <col min="19" max="19" width="17" style="2" customWidth="1"/>
    <col min="20" max="20" width="28.109375" style="2" customWidth="1"/>
    <col min="21" max="21" width="19.88671875" style="2" customWidth="1"/>
    <col min="22" max="22" width="23.109375" style="2" customWidth="1"/>
    <col min="23" max="16384" width="11.44140625" style="2"/>
  </cols>
  <sheetData>
    <row r="1" spans="1:22" ht="20.25" customHeight="1" x14ac:dyDescent="0.3">
      <c r="A1" s="581" t="s">
        <v>642</v>
      </c>
      <c r="B1" s="582"/>
      <c r="C1" s="585" t="s">
        <v>643</v>
      </c>
      <c r="D1" s="586"/>
      <c r="E1" s="586"/>
      <c r="F1" s="586"/>
      <c r="G1" s="587"/>
      <c r="H1" s="591" t="s">
        <v>644</v>
      </c>
      <c r="I1" s="591"/>
      <c r="J1" s="591"/>
      <c r="K1" s="591"/>
      <c r="L1" s="592"/>
      <c r="M1" s="593" t="s">
        <v>645</v>
      </c>
      <c r="N1" s="594"/>
      <c r="O1" s="594"/>
      <c r="P1" s="594"/>
      <c r="Q1" s="594"/>
      <c r="R1" s="594"/>
      <c r="S1" s="594"/>
      <c r="T1" s="611"/>
      <c r="U1" s="572" t="s">
        <v>646</v>
      </c>
      <c r="V1" s="574">
        <f>SUM(U5:U14)</f>
        <v>2006300</v>
      </c>
    </row>
    <row r="2" spans="1:22" ht="19.5" customHeight="1" x14ac:dyDescent="0.3">
      <c r="A2" s="583"/>
      <c r="B2" s="584"/>
      <c r="C2" s="588"/>
      <c r="D2" s="589"/>
      <c r="E2" s="589"/>
      <c r="F2" s="589"/>
      <c r="G2" s="590"/>
      <c r="H2" s="591"/>
      <c r="I2" s="591"/>
      <c r="J2" s="591"/>
      <c r="K2" s="591"/>
      <c r="L2" s="592"/>
      <c r="M2" s="595"/>
      <c r="N2" s="596"/>
      <c r="O2" s="596"/>
      <c r="P2" s="596"/>
      <c r="Q2" s="596"/>
      <c r="R2" s="596"/>
      <c r="S2" s="596"/>
      <c r="T2" s="612"/>
      <c r="U2" s="573"/>
      <c r="V2" s="575"/>
    </row>
    <row r="3" spans="1:22" ht="15" customHeight="1" x14ac:dyDescent="0.3">
      <c r="A3" s="576" t="s">
        <v>3</v>
      </c>
      <c r="B3" s="576" t="s">
        <v>4</v>
      </c>
      <c r="C3" s="576" t="s">
        <v>5</v>
      </c>
      <c r="D3" s="576" t="s">
        <v>6</v>
      </c>
      <c r="E3" s="577" t="s">
        <v>648</v>
      </c>
      <c r="F3" s="578" t="s">
        <v>780</v>
      </c>
      <c r="G3" s="579" t="s">
        <v>9</v>
      </c>
      <c r="H3" s="622" t="s">
        <v>10</v>
      </c>
      <c r="I3" s="566" t="s">
        <v>11</v>
      </c>
      <c r="J3" s="567" t="s">
        <v>12</v>
      </c>
      <c r="K3" s="569" t="s">
        <v>650</v>
      </c>
      <c r="L3" s="579" t="s">
        <v>651</v>
      </c>
      <c r="M3" s="571" t="s">
        <v>15</v>
      </c>
      <c r="N3" s="365" t="s">
        <v>16</v>
      </c>
      <c r="O3" s="559" t="s">
        <v>17</v>
      </c>
      <c r="P3" s="560" t="s">
        <v>18</v>
      </c>
      <c r="Q3" s="366" t="s">
        <v>19</v>
      </c>
      <c r="R3" s="562" t="s">
        <v>20</v>
      </c>
      <c r="S3" s="564" t="s">
        <v>21</v>
      </c>
      <c r="T3" s="565" t="s">
        <v>22</v>
      </c>
      <c r="U3" s="601" t="s">
        <v>23</v>
      </c>
      <c r="V3" s="565" t="s">
        <v>652</v>
      </c>
    </row>
    <row r="4" spans="1:22" ht="69" customHeight="1" x14ac:dyDescent="0.3">
      <c r="A4" s="576"/>
      <c r="B4" s="576"/>
      <c r="C4" s="576"/>
      <c r="D4" s="576"/>
      <c r="E4" s="577"/>
      <c r="F4" s="578"/>
      <c r="G4" s="579"/>
      <c r="H4" s="622"/>
      <c r="I4" s="566"/>
      <c r="J4" s="568"/>
      <c r="K4" s="569"/>
      <c r="L4" s="579"/>
      <c r="M4" s="571"/>
      <c r="N4" s="365"/>
      <c r="O4" s="559"/>
      <c r="P4" s="560"/>
      <c r="Q4" s="561"/>
      <c r="R4" s="563"/>
      <c r="S4" s="564"/>
      <c r="T4" s="565"/>
      <c r="U4" s="601"/>
      <c r="V4" s="565"/>
    </row>
    <row r="5" spans="1:22" ht="65.400000000000006" customHeight="1" x14ac:dyDescent="0.3">
      <c r="A5" s="390">
        <v>1</v>
      </c>
      <c r="B5" s="391">
        <v>492416</v>
      </c>
      <c r="C5" s="419" t="s">
        <v>2077</v>
      </c>
      <c r="D5" s="851" t="s">
        <v>2078</v>
      </c>
      <c r="E5" s="421" t="s">
        <v>570</v>
      </c>
      <c r="F5" s="421" t="s">
        <v>570</v>
      </c>
      <c r="G5" s="391">
        <v>1</v>
      </c>
      <c r="H5" s="48" t="s">
        <v>2079</v>
      </c>
      <c r="I5" s="22">
        <v>85000</v>
      </c>
      <c r="J5" s="23">
        <f>IF(K5="","",(K5-(K5/1.19))/(K5/1.19)*100)</f>
        <v>18.999999999999989</v>
      </c>
      <c r="K5" s="159">
        <v>85000</v>
      </c>
      <c r="L5" s="5">
        <f>IF(I5="","",(K5)*$G$5)</f>
        <v>85000</v>
      </c>
      <c r="M5" s="411">
        <f>IFERROR(AVERAGE(L5:L6),"")</f>
        <v>92500</v>
      </c>
      <c r="N5" s="411">
        <f>IFERROR(HARMEAN(L5:L6),"")</f>
        <v>91891.891891891879</v>
      </c>
      <c r="O5" s="411">
        <f>IFERROR(MEDIAN(L5:L6),"")</f>
        <v>92500</v>
      </c>
      <c r="P5" s="86">
        <f t="shared" ref="P5:P14" si="0">IF(L5="","",L5)</f>
        <v>85000</v>
      </c>
      <c r="Q5" s="413">
        <f>IFERROR(SUM(P5:P6)/COUNTA(K5:K6),"")</f>
        <v>92500</v>
      </c>
      <c r="R5" s="411">
        <f>IFERROR(_xlfn.STDEV.S(L5:L6),"")</f>
        <v>10606.601717798212</v>
      </c>
      <c r="S5" s="415">
        <f>IFERROR(R5/M5,"")</f>
        <v>0.11466596451673743</v>
      </c>
      <c r="T5" s="843" t="s">
        <v>2080</v>
      </c>
      <c r="U5" s="378">
        <f>M5</f>
        <v>92500</v>
      </c>
      <c r="V5" s="845" t="s">
        <v>2081</v>
      </c>
    </row>
    <row r="6" spans="1:22" ht="78.599999999999994" customHeight="1" x14ac:dyDescent="0.3">
      <c r="A6" s="390"/>
      <c r="B6" s="423"/>
      <c r="C6" s="420"/>
      <c r="D6" s="851"/>
      <c r="E6" s="422"/>
      <c r="F6" s="422"/>
      <c r="G6" s="423"/>
      <c r="H6" s="48" t="s">
        <v>2082</v>
      </c>
      <c r="I6" s="22">
        <v>100000</v>
      </c>
      <c r="J6" s="23">
        <f t="shared" ref="J6:J14" si="1">IF(K6="","",(K6-(K6/1.19))/(K6/1.19)*100)</f>
        <v>18.999999999999993</v>
      </c>
      <c r="K6" s="159">
        <v>100000</v>
      </c>
      <c r="L6" s="5">
        <f>IF(I6="","",(K6)*$G$5)</f>
        <v>100000</v>
      </c>
      <c r="M6" s="412"/>
      <c r="N6" s="412"/>
      <c r="O6" s="412"/>
      <c r="P6" s="86">
        <f t="shared" si="0"/>
        <v>100000</v>
      </c>
      <c r="Q6" s="414"/>
      <c r="R6" s="412"/>
      <c r="S6" s="416"/>
      <c r="T6" s="844"/>
      <c r="U6" s="378"/>
      <c r="V6" s="846"/>
    </row>
    <row r="7" spans="1:22" ht="128.4" customHeight="1" x14ac:dyDescent="0.3">
      <c r="A7" s="389">
        <v>2</v>
      </c>
      <c r="B7" s="391">
        <v>41111949</v>
      </c>
      <c r="C7" s="419" t="s">
        <v>2083</v>
      </c>
      <c r="D7" s="419" t="s">
        <v>2084</v>
      </c>
      <c r="E7" s="421" t="s">
        <v>570</v>
      </c>
      <c r="F7" s="421" t="s">
        <v>570</v>
      </c>
      <c r="G7" s="391">
        <v>1</v>
      </c>
      <c r="H7" s="48" t="s">
        <v>2085</v>
      </c>
      <c r="I7" s="22">
        <f t="shared" ref="I7:I14" si="2">IFERROR(K7/((100+J7)/100),"")</f>
        <v>86890.756302521011</v>
      </c>
      <c r="J7" s="23">
        <f t="shared" si="1"/>
        <v>18.999999999999996</v>
      </c>
      <c r="K7" s="159">
        <v>103400</v>
      </c>
      <c r="L7" s="5">
        <f>IF(I7="","",(K7)*$G$7)</f>
        <v>103400</v>
      </c>
      <c r="M7" s="411">
        <f>IFERROR(AVERAGE(L7:L8),"")</f>
        <v>116700</v>
      </c>
      <c r="N7" s="411">
        <f>IFERROR(HARMEAN(L7:L8),"")</f>
        <v>115184.23307626395</v>
      </c>
      <c r="O7" s="411">
        <f>IFERROR(MEDIAN(L7:L8),"")</f>
        <v>116700</v>
      </c>
      <c r="P7" s="86">
        <f t="shared" si="0"/>
        <v>103400</v>
      </c>
      <c r="Q7" s="413">
        <f>IFERROR(SUM(P7:P8)/COUNTA(K7:K8),"")</f>
        <v>116700</v>
      </c>
      <c r="R7" s="411">
        <f>IFERROR(_xlfn.STDEV.S(L7:L8),"")</f>
        <v>18809.040379562164</v>
      </c>
      <c r="S7" s="415">
        <f>IFERROR(R7/M7,"")</f>
        <v>0.16117429631158667</v>
      </c>
      <c r="T7" s="847" t="s">
        <v>2080</v>
      </c>
      <c r="U7" s="378">
        <f>M7</f>
        <v>116700</v>
      </c>
      <c r="V7" s="849" t="s">
        <v>2086</v>
      </c>
    </row>
    <row r="8" spans="1:22" ht="99.6" customHeight="1" x14ac:dyDescent="0.3">
      <c r="A8" s="390"/>
      <c r="B8" s="423"/>
      <c r="C8" s="420"/>
      <c r="D8" s="420"/>
      <c r="E8" s="422"/>
      <c r="F8" s="422"/>
      <c r="G8" s="423"/>
      <c r="H8" s="48" t="s">
        <v>2082</v>
      </c>
      <c r="I8" s="22">
        <f t="shared" si="2"/>
        <v>109243.6974789916</v>
      </c>
      <c r="J8" s="23">
        <f t="shared" si="1"/>
        <v>18.999999999999996</v>
      </c>
      <c r="K8" s="159">
        <v>130000</v>
      </c>
      <c r="L8" s="5">
        <f>IF(I8="","",(K8)*$G$7)</f>
        <v>130000</v>
      </c>
      <c r="M8" s="412"/>
      <c r="N8" s="412"/>
      <c r="O8" s="412"/>
      <c r="P8" s="86">
        <f t="shared" si="0"/>
        <v>130000</v>
      </c>
      <c r="Q8" s="414"/>
      <c r="R8" s="412"/>
      <c r="S8" s="416"/>
      <c r="T8" s="848"/>
      <c r="U8" s="378"/>
      <c r="V8" s="850"/>
    </row>
    <row r="9" spans="1:22" ht="62.4" customHeight="1" x14ac:dyDescent="0.3">
      <c r="A9" s="389">
        <v>3</v>
      </c>
      <c r="B9" s="391">
        <v>49181507</v>
      </c>
      <c r="C9" s="419" t="s">
        <v>2087</v>
      </c>
      <c r="D9" s="419" t="s">
        <v>2088</v>
      </c>
      <c r="E9" s="421" t="s">
        <v>570</v>
      </c>
      <c r="F9" s="421" t="s">
        <v>570</v>
      </c>
      <c r="G9" s="391">
        <v>1</v>
      </c>
      <c r="H9" s="48" t="s">
        <v>2085</v>
      </c>
      <c r="I9" s="22">
        <f>IFERROR(K9/((100+J9)/100),"")</f>
        <v>1183025.2100840337</v>
      </c>
      <c r="J9" s="23">
        <f t="shared" si="1"/>
        <v>18.999999999999993</v>
      </c>
      <c r="K9" s="159">
        <v>1407800</v>
      </c>
      <c r="L9" s="5">
        <f>IF(I9="","",(K9)*$G$9)</f>
        <v>1407800</v>
      </c>
      <c r="M9" s="411">
        <f>IFERROR(AVERAGE(L9:L10),"")</f>
        <v>1528900</v>
      </c>
      <c r="N9" s="411">
        <f>IFERROR(HARMEAN(L9:L10),"")</f>
        <v>1519307.9992151221</v>
      </c>
      <c r="O9" s="411">
        <f>IFERROR(MEDIAN(L9:L10),"")</f>
        <v>1528900</v>
      </c>
      <c r="P9" s="86">
        <f t="shared" si="0"/>
        <v>1407800</v>
      </c>
      <c r="Q9" s="413">
        <f>IFERROR(SUM(P9:P10)/COUNTA(K9:K10),"")</f>
        <v>1528900</v>
      </c>
      <c r="R9" s="411">
        <f>IFERROR(_xlfn.STDEV.S(L9:L10),"")</f>
        <v>171261.26240338181</v>
      </c>
      <c r="S9" s="415">
        <f>IFERROR(R9/M9,"")</f>
        <v>0.11201600000221193</v>
      </c>
      <c r="T9" s="417" t="s">
        <v>2080</v>
      </c>
      <c r="U9" s="378">
        <f t="shared" ref="U9" si="3">M9</f>
        <v>1528900</v>
      </c>
      <c r="V9" s="849" t="s">
        <v>2089</v>
      </c>
    </row>
    <row r="10" spans="1:22" ht="68.400000000000006" customHeight="1" x14ac:dyDescent="0.3">
      <c r="A10" s="390"/>
      <c r="B10" s="423"/>
      <c r="C10" s="420"/>
      <c r="D10" s="423"/>
      <c r="E10" s="422"/>
      <c r="F10" s="422"/>
      <c r="G10" s="423"/>
      <c r="H10" s="48" t="s">
        <v>2082</v>
      </c>
      <c r="I10" s="22">
        <f t="shared" si="2"/>
        <v>1386554.6218487395</v>
      </c>
      <c r="J10" s="23">
        <f t="shared" si="1"/>
        <v>19.000000000000004</v>
      </c>
      <c r="K10" s="159">
        <v>1650000</v>
      </c>
      <c r="L10" s="5">
        <f>IF(I10="","",(K10)*$G$9)</f>
        <v>1650000</v>
      </c>
      <c r="M10" s="412"/>
      <c r="N10" s="412"/>
      <c r="O10" s="412"/>
      <c r="P10" s="86">
        <f t="shared" si="0"/>
        <v>1650000</v>
      </c>
      <c r="Q10" s="414"/>
      <c r="R10" s="412"/>
      <c r="S10" s="416"/>
      <c r="T10" s="447"/>
      <c r="U10" s="378"/>
      <c r="V10" s="770"/>
    </row>
    <row r="11" spans="1:22" ht="68.400000000000006" customHeight="1" x14ac:dyDescent="0.3">
      <c r="A11" s="389">
        <v>4</v>
      </c>
      <c r="B11" s="391">
        <v>411116</v>
      </c>
      <c r="C11" s="419" t="s">
        <v>2090</v>
      </c>
      <c r="D11" s="419">
        <v>6</v>
      </c>
      <c r="E11" s="421" t="s">
        <v>570</v>
      </c>
      <c r="F11" s="421" t="s">
        <v>570</v>
      </c>
      <c r="G11" s="391">
        <v>1</v>
      </c>
      <c r="H11" s="48" t="s">
        <v>2079</v>
      </c>
      <c r="I11" s="22">
        <f t="shared" si="2"/>
        <v>149478.99159663866</v>
      </c>
      <c r="J11" s="23">
        <f t="shared" si="1"/>
        <v>18.999999999999993</v>
      </c>
      <c r="K11" s="159">
        <v>177880</v>
      </c>
      <c r="L11" s="5">
        <f>IF(I11="","",(K11)*$G$11)</f>
        <v>177880</v>
      </c>
      <c r="M11" s="411">
        <f t="shared" ref="M11" si="4">IFERROR(AVERAGE(L11:L12),"")</f>
        <v>133940</v>
      </c>
      <c r="N11" s="411">
        <f>IFERROR(HARMEAN(L11:L12),"")</f>
        <v>119525.16051963565</v>
      </c>
      <c r="O11" s="411">
        <f>IFERROR(MEDIAN(L11:L12),"")</f>
        <v>133940</v>
      </c>
      <c r="P11" s="86">
        <f t="shared" si="0"/>
        <v>177880</v>
      </c>
      <c r="Q11" s="413">
        <f>IFERROR(SUM(P11:P12)/COUNTA(K11:K12),"")</f>
        <v>133940</v>
      </c>
      <c r="R11" s="411">
        <f>IFERROR(_xlfn.STDEV.S(L11:L12),"")</f>
        <v>62140.543930673797</v>
      </c>
      <c r="S11" s="415">
        <f>IFERROR(R11/M11,"")</f>
        <v>0.46394313820123784</v>
      </c>
      <c r="T11" s="417" t="s">
        <v>2091</v>
      </c>
      <c r="U11" s="378">
        <f t="shared" ref="U11" si="5">M11</f>
        <v>133940</v>
      </c>
      <c r="V11" s="850" t="s">
        <v>2092</v>
      </c>
    </row>
    <row r="12" spans="1:22" ht="69" customHeight="1" x14ac:dyDescent="0.3">
      <c r="A12" s="390"/>
      <c r="B12" s="423"/>
      <c r="C12" s="420"/>
      <c r="D12" s="423"/>
      <c r="E12" s="422"/>
      <c r="F12" s="422"/>
      <c r="G12" s="423"/>
      <c r="H12" s="181" t="s">
        <v>2082</v>
      </c>
      <c r="I12" s="22">
        <f t="shared" si="2"/>
        <v>75630.252100840342</v>
      </c>
      <c r="J12" s="23">
        <f t="shared" si="1"/>
        <v>18.999999999999993</v>
      </c>
      <c r="K12" s="159">
        <v>90000</v>
      </c>
      <c r="L12" s="5">
        <f>IF(I12="","",(K12)*$G$11)</f>
        <v>90000</v>
      </c>
      <c r="M12" s="412"/>
      <c r="N12" s="412"/>
      <c r="O12" s="412"/>
      <c r="P12" s="86">
        <f t="shared" si="0"/>
        <v>90000</v>
      </c>
      <c r="Q12" s="414"/>
      <c r="R12" s="412"/>
      <c r="S12" s="416"/>
      <c r="T12" s="447"/>
      <c r="U12" s="378"/>
      <c r="V12" s="484"/>
    </row>
    <row r="13" spans="1:22" ht="103.2" customHeight="1" x14ac:dyDescent="0.3">
      <c r="A13" s="771">
        <v>5</v>
      </c>
      <c r="B13" s="395">
        <v>60101732</v>
      </c>
      <c r="C13" s="393" t="s">
        <v>2093</v>
      </c>
      <c r="D13" s="393" t="s">
        <v>2094</v>
      </c>
      <c r="E13" s="394" t="s">
        <v>570</v>
      </c>
      <c r="F13" s="394" t="s">
        <v>570</v>
      </c>
      <c r="G13" s="395">
        <v>1</v>
      </c>
      <c r="H13" s="186" t="s">
        <v>2079</v>
      </c>
      <c r="I13" s="82">
        <f t="shared" si="2"/>
        <v>129008.40336134455</v>
      </c>
      <c r="J13" s="83">
        <f t="shared" si="1"/>
        <v>18.999999999999989</v>
      </c>
      <c r="K13" s="185">
        <v>153520</v>
      </c>
      <c r="L13" s="5">
        <f>IF(I13="","",(K13)*$G$13)</f>
        <v>153520</v>
      </c>
      <c r="M13" s="380">
        <f>IFERROR(AVERAGE(L13:L14),"")</f>
        <v>134260</v>
      </c>
      <c r="N13" s="380">
        <f>IFERROR(HARMEAN(L13:L14),"")</f>
        <v>131497.09518844035</v>
      </c>
      <c r="O13" s="380">
        <f>IFERROR(MEDIAN(L13:L14),"")</f>
        <v>134260</v>
      </c>
      <c r="P13" s="87">
        <f t="shared" si="0"/>
        <v>153520</v>
      </c>
      <c r="Q13" s="381">
        <f>IFERROR(SUM(P13:P14)/COUNTA(K13:K14),"")</f>
        <v>134260</v>
      </c>
      <c r="R13" s="380">
        <f>IFERROR(_xlfn.STDEV.S(L13:L14),"")</f>
        <v>27237.753211305811</v>
      </c>
      <c r="S13" s="382">
        <f>IFERROR(R13/M13,"")</f>
        <v>0.20287318048045444</v>
      </c>
      <c r="T13" s="685" t="s">
        <v>2091</v>
      </c>
      <c r="U13" s="378">
        <f>M13</f>
        <v>134260</v>
      </c>
      <c r="V13" s="850" t="s">
        <v>2095</v>
      </c>
    </row>
    <row r="14" spans="1:22" ht="87.6" customHeight="1" x14ac:dyDescent="0.3">
      <c r="A14" s="771"/>
      <c r="B14" s="395"/>
      <c r="C14" s="393"/>
      <c r="D14" s="393"/>
      <c r="E14" s="394"/>
      <c r="F14" s="394"/>
      <c r="G14" s="395"/>
      <c r="H14" s="186" t="s">
        <v>2082</v>
      </c>
      <c r="I14" s="82">
        <f t="shared" si="2"/>
        <v>96638.655462184877</v>
      </c>
      <c r="J14" s="83">
        <f t="shared" si="1"/>
        <v>18.999999999999993</v>
      </c>
      <c r="K14" s="185">
        <v>115000</v>
      </c>
      <c r="L14" s="5">
        <f>IF(I14="","",(K14)*$G$13)</f>
        <v>115000</v>
      </c>
      <c r="M14" s="380"/>
      <c r="N14" s="380"/>
      <c r="O14" s="380"/>
      <c r="P14" s="87">
        <f t="shared" si="0"/>
        <v>115000</v>
      </c>
      <c r="Q14" s="381"/>
      <c r="R14" s="380"/>
      <c r="S14" s="382"/>
      <c r="T14" s="685"/>
      <c r="U14" s="378"/>
      <c r="V14" s="770"/>
    </row>
    <row r="16" spans="1:22" x14ac:dyDescent="0.3">
      <c r="U16" s="206">
        <f>SUM(U5:U10,U11:U14)</f>
        <v>2006300</v>
      </c>
    </row>
  </sheetData>
  <mergeCells count="108">
    <mergeCell ref="V11:V12"/>
    <mergeCell ref="A13:A14"/>
    <mergeCell ref="B13:B14"/>
    <mergeCell ref="C13:C14"/>
    <mergeCell ref="D13:D14"/>
    <mergeCell ref="E13:E14"/>
    <mergeCell ref="F13:F14"/>
    <mergeCell ref="G11:G12"/>
    <mergeCell ref="M11:M12"/>
    <mergeCell ref="N11:N12"/>
    <mergeCell ref="O11:O12"/>
    <mergeCell ref="Q11:Q12"/>
    <mergeCell ref="R11:R12"/>
    <mergeCell ref="S13:S14"/>
    <mergeCell ref="T13:T14"/>
    <mergeCell ref="U13:U14"/>
    <mergeCell ref="V13:V14"/>
    <mergeCell ref="G13:G14"/>
    <mergeCell ref="M13:M14"/>
    <mergeCell ref="A9:A10"/>
    <mergeCell ref="N13:N14"/>
    <mergeCell ref="O13:O14"/>
    <mergeCell ref="A11:A12"/>
    <mergeCell ref="B11:B12"/>
    <mergeCell ref="C11:C12"/>
    <mergeCell ref="D11:D12"/>
    <mergeCell ref="E11:E12"/>
    <mergeCell ref="F11:F12"/>
    <mergeCell ref="Q13:Q14"/>
    <mergeCell ref="R13:R14"/>
    <mergeCell ref="S11:S12"/>
    <mergeCell ref="T11:T12"/>
    <mergeCell ref="U11:U12"/>
    <mergeCell ref="G9:G10"/>
    <mergeCell ref="M9:M10"/>
    <mergeCell ref="N9:N10"/>
    <mergeCell ref="S5:S6"/>
    <mergeCell ref="C5:C6"/>
    <mergeCell ref="D5:D6"/>
    <mergeCell ref="E5:E6"/>
    <mergeCell ref="F5:F6"/>
    <mergeCell ref="S9:S10"/>
    <mergeCell ref="T9:T10"/>
    <mergeCell ref="U9:U10"/>
    <mergeCell ref="V9:V10"/>
    <mergeCell ref="O9:O10"/>
    <mergeCell ref="Q9:Q10"/>
    <mergeCell ref="R9:R10"/>
    <mergeCell ref="Q7:Q8"/>
    <mergeCell ref="R7:R8"/>
    <mergeCell ref="N7:N8"/>
    <mergeCell ref="A5:A6"/>
    <mergeCell ref="B5:B6"/>
    <mergeCell ref="B9:B10"/>
    <mergeCell ref="C9:C10"/>
    <mergeCell ref="D9:D10"/>
    <mergeCell ref="E9:E10"/>
    <mergeCell ref="F9:F10"/>
    <mergeCell ref="G7:G8"/>
    <mergeCell ref="M7:M8"/>
    <mergeCell ref="I3:I4"/>
    <mergeCell ref="J3:J4"/>
    <mergeCell ref="K3:K4"/>
    <mergeCell ref="L3:L4"/>
    <mergeCell ref="T5:T6"/>
    <mergeCell ref="U5:U6"/>
    <mergeCell ref="V5:V6"/>
    <mergeCell ref="A7:A8"/>
    <mergeCell ref="B7:B8"/>
    <mergeCell ref="C7:C8"/>
    <mergeCell ref="D7:D8"/>
    <mergeCell ref="E7:E8"/>
    <mergeCell ref="F7:F8"/>
    <mergeCell ref="G5:G6"/>
    <mergeCell ref="M5:M6"/>
    <mergeCell ref="N5:N6"/>
    <mergeCell ref="O5:O6"/>
    <mergeCell ref="Q5:Q6"/>
    <mergeCell ref="R5:R6"/>
    <mergeCell ref="S7:S8"/>
    <mergeCell ref="T7:T8"/>
    <mergeCell ref="U7:U8"/>
    <mergeCell ref="V7:V8"/>
    <mergeCell ref="O7:O8"/>
    <mergeCell ref="A3:A4"/>
    <mergeCell ref="B3:B4"/>
    <mergeCell ref="V1:V2"/>
    <mergeCell ref="C3:C4"/>
    <mergeCell ref="D3:D4"/>
    <mergeCell ref="E3:E4"/>
    <mergeCell ref="F3:F4"/>
    <mergeCell ref="A1:B2"/>
    <mergeCell ref="C1:G2"/>
    <mergeCell ref="H1:L2"/>
    <mergeCell ref="M1:T2"/>
    <mergeCell ref="U1:U2"/>
    <mergeCell ref="S3:S4"/>
    <mergeCell ref="T3:T4"/>
    <mergeCell ref="U3:U4"/>
    <mergeCell ref="V3:V4"/>
    <mergeCell ref="P3:P4"/>
    <mergeCell ref="Q3:Q4"/>
    <mergeCell ref="R3:R4"/>
    <mergeCell ref="M3:M4"/>
    <mergeCell ref="N3:N4"/>
    <mergeCell ref="O3:O4"/>
    <mergeCell ref="G3:G4"/>
    <mergeCell ref="H3:H4"/>
  </mergeCells>
  <conditionalFormatting sqref="A5 D5 A9 A11 I5:J14">
    <cfRule type="containsBlanks" dxfId="35" priority="3">
      <formula>LEN(TRIM(A5))=0</formula>
    </cfRule>
  </conditionalFormatting>
  <conditionalFormatting sqref="B5:C5 B7:D7 B9:D9 B11:D11 B13:D13 H5:H14 K5:K14">
    <cfRule type="containsBlanks" dxfId="34" priority="1">
      <formula>LEN(TRIM(B5))=0</formula>
    </cfRule>
  </conditionalFormatting>
  <conditionalFormatting sqref="G5 G7 G9 G11 G13">
    <cfRule type="containsBlanks" dxfId="33" priority="2">
      <formula>LEN(TRIM(G5))=0</formula>
    </cfRule>
  </conditionalFormatting>
  <conditionalFormatting sqref="P5:P14">
    <cfRule type="dataBar" priority="1548">
      <dataBar>
        <cfvo type="min"/>
        <cfvo type="max"/>
        <color rgb="FFC2D2E8"/>
      </dataBar>
      <extLst>
        <ext xmlns:x14="http://schemas.microsoft.com/office/spreadsheetml/2009/9/main" uri="{B025F937-C7B1-47D3-B67F-A62EFF666E3E}">
          <x14:id>{1527C9EA-853C-44CB-A9E1-3952C23A1A01}</x14:id>
        </ext>
      </extLst>
    </cfRule>
  </conditionalFormatting>
  <hyperlinks>
    <hyperlink ref="V5" r:id="rId1" location="polycard_client%3Dsearch-desktop%26search_layout%3Dgrid%26position%3D26%26type%3Ditem%26tracking_id%3D0a1807be-83ae-4210-8399-a59d950a8125" xr:uid="{19F84D8B-4E29-4D14-9730-18F498041EFF}"/>
    <hyperlink ref="V7" r:id="rId2" xr:uid="{9F087BF1-2350-4942-A51F-EE49DB6E49BB}"/>
    <hyperlink ref="V9" r:id="rId3" xr:uid="{0584882F-8039-4A07-84E7-93982DE09652}"/>
    <hyperlink ref="V11" r:id="rId4" location="polycard_client%3Dsearch-desktop%26search_layout%3Dgrid%26position%3D43%26type%3Dproduct%26tracking_id%3Dbe1c0b13-5ca3-46aa-aa02-7c12ec0e2484%26wid%3DMCO1453630353%26sid%3Dsearch" display="https://www.mercadolibre.com.co/dispositivo-de-medicion-de-grasa-corporal-monitor-de-grasa/up/MCOU2411386713#polycard_client%3Dsearch-desktop%26search_layout%3Dgrid%26position%3D43%26type%3Dproduct%26tracking_id%3Dbe1c0b13-5ca3-46aa-aa02-7c12ec0e2484%26wid%3DMCO1453630353%26sid%3Dsearch" xr:uid="{19EC0D22-FA37-45B1-BCA0-FF6DAA603479}"/>
    <hyperlink ref="V13" r:id="rId5" location="polycard_client%3Dsearch-desktop%26search_layout%3Dgrid%26position%3D2%26type%3Dproduct%26tracking_id%3D79da9bc1-f182-4645-a7c7-09c7c67c955e%26wid%3DMCO1150477308%26sid%3Dsearch" display="https://www.mercadolibre.com.co/apuntador-luz-roja-control-remoto-presentador-pro-slim/up/MCOU2985288735#polycard_client%3Dsearch-desktop%26search_layout%3Dgrid%26position%3D2%26type%3Dproduct%26tracking_id%3D79da9bc1-f182-4645-a7c7-09c7c67c955e%26wid%3DMCO1150477308%26sid%3Dsearch" xr:uid="{69770991-A4C0-449D-AA52-686835C854E2}"/>
    <hyperlink ref="V5:V6" r:id="rId6" location="polycard_client%3Dsearch-desktop%26search_layout%3Dgrid%26position%3D26%26type%3Ditem%26tracking_id%3D0a1807be-83ae-4210-8399-a59d950a8125" display="https://articulo.mercadolibre.com.co/MCO-3731978052-juego-grupal-interactivo-de-trabajo-en-equipo-hole-tarp-para-_JM#polycard_client%3Dsearch-desktop%26search_layout%3Dgrid%26position%3D26%26type%3Ditem%26tracking_id%3D0a1807be-83ae-4210-8399-a59d950a8125" xr:uid="{7E0C29D8-3C3F-4E5B-B4EA-D971E837B716}"/>
    <hyperlink ref="V7:V8" r:id="rId7" display="https://sportfitness.co/products/cronometro-deportivo-plus-sportfitness" xr:uid="{15E75857-8DD2-4858-BF59-34405935BFC5}"/>
  </hyperlinks>
  <pageMargins left="0.7" right="0.7" top="0.75" bottom="0.75" header="0.3" footer="0.3"/>
  <pageSetup paperSize="9" orientation="portrait" horizontalDpi="300" verticalDpi="300" r:id="rId8"/>
  <legacyDrawing r:id="rId9"/>
  <extLst>
    <ext xmlns:x14="http://schemas.microsoft.com/office/spreadsheetml/2009/9/main" uri="{78C0D931-6437-407d-A8EE-F0AAD7539E65}">
      <x14:conditionalFormattings>
        <x14:conditionalFormatting xmlns:xm="http://schemas.microsoft.com/office/excel/2006/main">
          <x14:cfRule type="dataBar" id="{1527C9EA-853C-44CB-A9E1-3952C23A1A01}">
            <x14:dataBar minLength="0" maxLength="100" gradient="0">
              <x14:cfvo type="autoMin"/>
              <x14:cfvo type="autoMax"/>
              <x14:negativeFillColor rgb="FFFF0000"/>
              <x14:axisColor rgb="FF000000"/>
            </x14:dataBar>
          </x14:cfRule>
          <xm:sqref>P5:P14</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6EC60-9489-4F5C-8658-E6B0D33D4879}">
  <dimension ref="A1:Y106"/>
  <sheetViews>
    <sheetView zoomScale="70" zoomScaleNormal="70" workbookViewId="0">
      <pane xSplit="7" ySplit="4" topLeftCell="H5" activePane="bottomRight" state="frozen"/>
      <selection pane="topRight" activeCell="H1" sqref="H1"/>
      <selection pane="bottomLeft" activeCell="A5" sqref="A5"/>
      <selection pane="bottomRight" activeCell="P5" sqref="P5:P58"/>
    </sheetView>
  </sheetViews>
  <sheetFormatPr baseColWidth="10" defaultColWidth="0" defaultRowHeight="14.4" zeroHeight="1" outlineLevelCol="1" x14ac:dyDescent="0.3"/>
  <cols>
    <col min="1" max="1" width="6.44140625" style="2" bestFit="1" customWidth="1"/>
    <col min="2" max="2" width="11.5546875" style="2" bestFit="1" customWidth="1"/>
    <col min="3" max="3" width="14.88671875" style="2" customWidth="1"/>
    <col min="4" max="4" width="74.88671875" style="2" customWidth="1"/>
    <col min="5" max="5" width="15.5546875" style="2" hidden="1" customWidth="1"/>
    <col min="6" max="6" width="16.6640625" style="2" customWidth="1"/>
    <col min="7" max="7" width="13.44140625" style="2" customWidth="1"/>
    <col min="8" max="8" width="20.5546875" style="2" customWidth="1" outlineLevel="1"/>
    <col min="9" max="9" width="15.5546875" style="1" customWidth="1" outlineLevel="1"/>
    <col min="10" max="10" width="12.5546875" style="2" customWidth="1" outlineLevel="1"/>
    <col min="11" max="12" width="18.6640625" style="1" customWidth="1" outlineLevel="1"/>
    <col min="13" max="13" width="18.6640625" style="3" customWidth="1" outlineLevel="1"/>
    <col min="14" max="14" width="19.5546875" style="1" bestFit="1" customWidth="1" outlineLevel="1"/>
    <col min="15" max="15" width="18.6640625" style="3" bestFit="1" customWidth="1" outlineLevel="1"/>
    <col min="16" max="16" width="22.5546875" style="4" customWidth="1"/>
    <col min="17" max="17" width="18.109375" style="4" bestFit="1" customWidth="1"/>
    <col min="18" max="18" width="18.5546875" style="4" bestFit="1" customWidth="1"/>
    <col min="19" max="19" width="17.88671875" style="3" customWidth="1"/>
    <col min="20" max="20" width="17.88671875" style="4" customWidth="1"/>
    <col min="21" max="21" width="17.88671875" style="3" customWidth="1"/>
    <col min="22" max="22" width="17" style="2" customWidth="1"/>
    <col min="23" max="23" width="33" style="2" customWidth="1"/>
    <col min="24" max="24" width="22.88671875" style="2" customWidth="1"/>
    <col min="25" max="25" width="5.109375" style="2" customWidth="1"/>
    <col min="26" max="16384" width="11.44140625" style="2" hidden="1"/>
  </cols>
  <sheetData>
    <row r="1" spans="1:24" ht="15" customHeight="1" x14ac:dyDescent="0.3">
      <c r="A1" s="347" t="s">
        <v>0</v>
      </c>
      <c r="B1" s="347"/>
      <c r="C1" s="347"/>
      <c r="D1" s="347"/>
      <c r="E1" s="347"/>
      <c r="F1" s="347"/>
      <c r="G1" s="347"/>
      <c r="H1" s="349" t="s">
        <v>1</v>
      </c>
      <c r="I1" s="350"/>
      <c r="J1" s="350"/>
      <c r="K1" s="350"/>
      <c r="L1" s="350"/>
      <c r="M1" s="350"/>
      <c r="N1" s="350"/>
      <c r="O1" s="351"/>
      <c r="P1" s="355" t="s">
        <v>2</v>
      </c>
      <c r="Q1" s="355"/>
      <c r="R1" s="355"/>
      <c r="S1" s="355"/>
      <c r="T1" s="355"/>
      <c r="U1" s="355"/>
      <c r="V1" s="355"/>
      <c r="W1" s="355"/>
      <c r="X1" s="355"/>
    </row>
    <row r="2" spans="1:24" ht="15" thickBot="1" x14ac:dyDescent="0.35">
      <c r="A2" s="347"/>
      <c r="B2" s="347"/>
      <c r="C2" s="347"/>
      <c r="D2" s="347"/>
      <c r="E2" s="348"/>
      <c r="F2" s="348"/>
      <c r="G2" s="348"/>
      <c r="H2" s="352"/>
      <c r="I2" s="353"/>
      <c r="J2" s="353"/>
      <c r="K2" s="353"/>
      <c r="L2" s="353"/>
      <c r="M2" s="353"/>
      <c r="N2" s="353"/>
      <c r="O2" s="354"/>
      <c r="P2" s="356"/>
      <c r="Q2" s="355"/>
      <c r="R2" s="355"/>
      <c r="S2" s="355"/>
      <c r="T2" s="355"/>
      <c r="U2" s="355"/>
      <c r="V2" s="355"/>
      <c r="W2" s="355"/>
      <c r="X2" s="355"/>
    </row>
    <row r="3" spans="1:24" x14ac:dyDescent="0.3">
      <c r="A3" s="357" t="s">
        <v>3</v>
      </c>
      <c r="B3" s="357" t="s">
        <v>4</v>
      </c>
      <c r="C3" s="357" t="s">
        <v>5</v>
      </c>
      <c r="D3" s="359" t="s">
        <v>6</v>
      </c>
      <c r="E3" s="337" t="s">
        <v>1740</v>
      </c>
      <c r="F3" s="361" t="s">
        <v>1741</v>
      </c>
      <c r="G3" s="363" t="s">
        <v>1742</v>
      </c>
      <c r="H3" s="337" t="s">
        <v>10</v>
      </c>
      <c r="I3" s="339" t="s">
        <v>1743</v>
      </c>
      <c r="J3" s="339" t="s">
        <v>12</v>
      </c>
      <c r="K3" s="341" t="s">
        <v>1744</v>
      </c>
      <c r="L3" s="343" t="s">
        <v>1745</v>
      </c>
      <c r="M3" s="345" t="s">
        <v>1746</v>
      </c>
      <c r="N3" s="329" t="s">
        <v>1747</v>
      </c>
      <c r="O3" s="331" t="s">
        <v>1748</v>
      </c>
      <c r="P3" s="333" t="s">
        <v>1749</v>
      </c>
      <c r="Q3" s="335" t="s">
        <v>16</v>
      </c>
      <c r="R3" s="375" t="s">
        <v>17</v>
      </c>
      <c r="S3" s="367" t="s">
        <v>1750</v>
      </c>
      <c r="T3" s="365" t="s">
        <v>19</v>
      </c>
      <c r="U3" s="367" t="s">
        <v>20</v>
      </c>
      <c r="V3" s="369" t="s">
        <v>21</v>
      </c>
      <c r="W3" s="371" t="s">
        <v>1751</v>
      </c>
      <c r="X3" s="373" t="s">
        <v>652</v>
      </c>
    </row>
    <row r="4" spans="1:24" ht="15" thickBot="1" x14ac:dyDescent="0.35">
      <c r="A4" s="358"/>
      <c r="B4" s="358"/>
      <c r="C4" s="358"/>
      <c r="D4" s="360"/>
      <c r="E4" s="338"/>
      <c r="F4" s="362"/>
      <c r="G4" s="364"/>
      <c r="H4" s="338"/>
      <c r="I4" s="340"/>
      <c r="J4" s="340"/>
      <c r="K4" s="342"/>
      <c r="L4" s="344"/>
      <c r="M4" s="346"/>
      <c r="N4" s="330"/>
      <c r="O4" s="332"/>
      <c r="P4" s="334"/>
      <c r="Q4" s="336"/>
      <c r="R4" s="376"/>
      <c r="S4" s="368"/>
      <c r="T4" s="366"/>
      <c r="U4" s="368"/>
      <c r="V4" s="370"/>
      <c r="W4" s="372"/>
      <c r="X4" s="374"/>
    </row>
    <row r="5" spans="1:24" ht="49.5" customHeight="1" thickBot="1" x14ac:dyDescent="0.35">
      <c r="A5" s="259">
        <v>1</v>
      </c>
      <c r="B5" s="262">
        <v>32151705</v>
      </c>
      <c r="C5" s="299" t="s">
        <v>1752</v>
      </c>
      <c r="D5" s="325" t="s">
        <v>1753</v>
      </c>
      <c r="E5" s="326"/>
      <c r="F5" s="274" t="s">
        <v>570</v>
      </c>
      <c r="G5" s="238">
        <v>1</v>
      </c>
      <c r="H5" s="101" t="s">
        <v>309</v>
      </c>
      <c r="I5" s="102">
        <f t="shared" ref="I5:I58" si="0">IFERROR(K5/1.19,"")</f>
        <v>3414334.411764706</v>
      </c>
      <c r="J5" s="241">
        <v>0.19</v>
      </c>
      <c r="K5" s="103">
        <v>4063057.95</v>
      </c>
      <c r="L5" s="321">
        <f>IFERROR((SUM(K5:K7)/COUNTIF(K5:K7,"&gt;0")),0)</f>
        <v>4999955.6499999994</v>
      </c>
      <c r="M5" s="104">
        <f>IF(I5=0,0,(K5)*$G$5)</f>
        <v>4063057.95</v>
      </c>
      <c r="N5" s="105">
        <v>821410.57</v>
      </c>
      <c r="O5" s="106">
        <f>M5+N5</f>
        <v>4884468.5200000005</v>
      </c>
      <c r="P5" s="247">
        <f>IFERROR((SUM(O5:O7)/COUNTIF(O5:O7,"&gt;0")),0)</f>
        <v>5357092.5066666668</v>
      </c>
      <c r="Q5" s="250">
        <f>IFERROR(HARMEAN(O5:O7),"")</f>
        <v>5155141.9234650023</v>
      </c>
      <c r="R5" s="253">
        <f>IFERROR(MEDIAN(O5:O7),"")</f>
        <v>4884468.5200000005</v>
      </c>
      <c r="S5" s="107">
        <f t="shared" ref="S5:S58" si="1">IF(M5="","",M5)</f>
        <v>4063057.95</v>
      </c>
      <c r="T5" s="276">
        <f>IFERROR(SUM(S5:S7)/COUNTA(K5:K7),"")</f>
        <v>4999955.6499999994</v>
      </c>
      <c r="U5" s="253">
        <f>IFERROR(_xlfn.STDEV.S(M5:M7),"")</f>
        <v>1619498.3448615249</v>
      </c>
      <c r="V5" s="256">
        <f>IFERROR(U5/P5,"")</f>
        <v>0.30230919903774861</v>
      </c>
      <c r="W5" s="223" t="s">
        <v>1754</v>
      </c>
      <c r="X5" s="226" t="s">
        <v>2096</v>
      </c>
    </row>
    <row r="6" spans="1:24" ht="49.5" customHeight="1" thickBot="1" x14ac:dyDescent="0.35">
      <c r="A6" s="260"/>
      <c r="B6" s="263"/>
      <c r="C6" s="293"/>
      <c r="D6" s="313"/>
      <c r="E6" s="327"/>
      <c r="F6" s="275"/>
      <c r="G6" s="239"/>
      <c r="H6" s="108" t="s">
        <v>1755</v>
      </c>
      <c r="I6" s="109">
        <f t="shared" si="0"/>
        <v>3417494.9579831935</v>
      </c>
      <c r="J6" s="242"/>
      <c r="K6" s="110">
        <v>4066819</v>
      </c>
      <c r="L6" s="322"/>
      <c r="M6" s="111">
        <f>IF(I6=0,0,(K6)*$G$5)</f>
        <v>4066819</v>
      </c>
      <c r="N6" s="112">
        <v>250000</v>
      </c>
      <c r="O6" s="106">
        <f t="shared" ref="O6:O57" si="2">M6+N6</f>
        <v>4316819</v>
      </c>
      <c r="P6" s="248"/>
      <c r="Q6" s="252"/>
      <c r="R6" s="254"/>
      <c r="S6" s="113">
        <f t="shared" si="1"/>
        <v>4066819</v>
      </c>
      <c r="T6" s="277"/>
      <c r="U6" s="254"/>
      <c r="V6" s="257"/>
      <c r="W6" s="225"/>
      <c r="X6" s="228"/>
    </row>
    <row r="7" spans="1:24" ht="49.5" customHeight="1" thickBot="1" x14ac:dyDescent="0.35">
      <c r="A7" s="260"/>
      <c r="B7" s="264"/>
      <c r="C7" s="294"/>
      <c r="D7" s="314"/>
      <c r="E7" s="328"/>
      <c r="F7" s="275"/>
      <c r="G7" s="239"/>
      <c r="H7" s="114" t="s">
        <v>543</v>
      </c>
      <c r="I7" s="109">
        <f t="shared" si="0"/>
        <v>5773100.8403361347</v>
      </c>
      <c r="J7" s="243"/>
      <c r="K7" s="115">
        <v>6869990</v>
      </c>
      <c r="L7" s="323"/>
      <c r="M7" s="116">
        <f>IF(I7=0,0,(K7)*$G$5)</f>
        <v>6869990</v>
      </c>
      <c r="N7" s="117"/>
      <c r="O7" s="106">
        <f t="shared" si="2"/>
        <v>6869990</v>
      </c>
      <c r="P7" s="249"/>
      <c r="Q7" s="324"/>
      <c r="R7" s="255"/>
      <c r="S7" s="118">
        <f t="shared" si="1"/>
        <v>6869990</v>
      </c>
      <c r="T7" s="278"/>
      <c r="U7" s="255"/>
      <c r="V7" s="258"/>
      <c r="W7" s="319"/>
      <c r="X7" s="320"/>
    </row>
    <row r="8" spans="1:24" ht="49.5" customHeight="1" x14ac:dyDescent="0.3">
      <c r="A8" s="259">
        <v>2</v>
      </c>
      <c r="B8" s="262">
        <v>39121032</v>
      </c>
      <c r="C8" s="292" t="s">
        <v>1756</v>
      </c>
      <c r="D8" s="295" t="s">
        <v>1757</v>
      </c>
      <c r="E8" s="271"/>
      <c r="F8" s="274" t="s">
        <v>570</v>
      </c>
      <c r="G8" s="238">
        <v>1</v>
      </c>
      <c r="H8" s="101" t="s">
        <v>309</v>
      </c>
      <c r="I8" s="119">
        <f t="shared" si="0"/>
        <v>52783.932773109242</v>
      </c>
      <c r="J8" s="241">
        <v>0.19</v>
      </c>
      <c r="K8" s="120">
        <v>62812.88</v>
      </c>
      <c r="L8" s="285">
        <f t="shared" ref="L8" si="3">IFERROR((SUM(K8:K10)/COUNTIF(K8:K10,"&gt;0")),0)</f>
        <v>138866.62666666668</v>
      </c>
      <c r="M8" s="104">
        <f>IF(I8=0,0,(K8)*$G$8)</f>
        <v>62812.88</v>
      </c>
      <c r="N8" s="105"/>
      <c r="O8" s="121">
        <f t="shared" si="2"/>
        <v>62812.88</v>
      </c>
      <c r="P8" s="247">
        <f t="shared" ref="P8" si="4">IFERROR((SUM(O8:O10)/COUNTIF(O8:O10,"&gt;0")),0)</f>
        <v>138866.62666666668</v>
      </c>
      <c r="Q8" s="251">
        <f t="shared" ref="Q8" si="5">IFERROR(HARMEAN(O8:O10),"")</f>
        <v>89237.638835777834</v>
      </c>
      <c r="R8" s="253">
        <f t="shared" ref="R8" si="6">IFERROR(MEDIAN(O8:O10),"")</f>
        <v>70588</v>
      </c>
      <c r="S8" s="122">
        <f t="shared" si="1"/>
        <v>62812.88</v>
      </c>
      <c r="T8" s="279">
        <f>IFERROR(SUM(S8:S10)/COUNTA(K8:K10),"")</f>
        <v>138866.62666666668</v>
      </c>
      <c r="U8" s="281">
        <f>IFERROR(_xlfn.STDEV.S(M8:M10),"")</f>
        <v>125055.94194910584</v>
      </c>
      <c r="V8" s="316">
        <f>IFERROR(U8/P8,"")</f>
        <v>0.90054712893176414</v>
      </c>
      <c r="W8" s="224" t="s">
        <v>1754</v>
      </c>
      <c r="X8" s="226" t="s">
        <v>2096</v>
      </c>
    </row>
    <row r="9" spans="1:24" ht="49.5" customHeight="1" x14ac:dyDescent="0.3">
      <c r="A9" s="260"/>
      <c r="B9" s="263"/>
      <c r="C9" s="293"/>
      <c r="D9" s="296"/>
      <c r="E9" s="272"/>
      <c r="F9" s="275"/>
      <c r="G9" s="239"/>
      <c r="H9" s="108" t="s">
        <v>1758</v>
      </c>
      <c r="I9" s="109">
        <f t="shared" si="0"/>
        <v>59317.647058823532</v>
      </c>
      <c r="J9" s="242"/>
      <c r="K9" s="110">
        <v>70588</v>
      </c>
      <c r="L9" s="286"/>
      <c r="M9" s="111">
        <f t="shared" ref="M9:M10" si="7">IF(I9=0,0,(K9)*$G$8)</f>
        <v>70588</v>
      </c>
      <c r="N9" s="112"/>
      <c r="O9" s="125">
        <f t="shared" si="2"/>
        <v>70588</v>
      </c>
      <c r="P9" s="248"/>
      <c r="Q9" s="251"/>
      <c r="R9" s="254"/>
      <c r="S9" s="113">
        <f t="shared" si="1"/>
        <v>70588</v>
      </c>
      <c r="T9" s="277"/>
      <c r="U9" s="254"/>
      <c r="V9" s="317"/>
      <c r="W9" s="224"/>
      <c r="X9" s="228"/>
    </row>
    <row r="10" spans="1:24" ht="49.5" customHeight="1" thickBot="1" x14ac:dyDescent="0.35">
      <c r="A10" s="261"/>
      <c r="B10" s="264"/>
      <c r="C10" s="294"/>
      <c r="D10" s="297"/>
      <c r="E10" s="273"/>
      <c r="F10" s="275"/>
      <c r="G10" s="240"/>
      <c r="H10" s="114" t="s">
        <v>543</v>
      </c>
      <c r="I10" s="126">
        <f t="shared" si="0"/>
        <v>237982.35294117648</v>
      </c>
      <c r="J10" s="243"/>
      <c r="K10" s="115">
        <v>283199</v>
      </c>
      <c r="L10" s="291"/>
      <c r="M10" s="116">
        <f t="shared" si="7"/>
        <v>283199</v>
      </c>
      <c r="N10" s="117"/>
      <c r="O10" s="125">
        <f t="shared" si="2"/>
        <v>283199</v>
      </c>
      <c r="P10" s="249"/>
      <c r="Q10" s="252"/>
      <c r="R10" s="255"/>
      <c r="S10" s="118">
        <f t="shared" si="1"/>
        <v>283199</v>
      </c>
      <c r="T10" s="278"/>
      <c r="U10" s="255"/>
      <c r="V10" s="318"/>
      <c r="W10" s="225"/>
      <c r="X10" s="320"/>
    </row>
    <row r="11" spans="1:24" ht="49.5" customHeight="1" x14ac:dyDescent="0.3">
      <c r="A11" s="259">
        <v>3</v>
      </c>
      <c r="B11" s="262">
        <v>43201409</v>
      </c>
      <c r="C11" s="292" t="s">
        <v>1759</v>
      </c>
      <c r="D11" s="295" t="s">
        <v>1760</v>
      </c>
      <c r="E11" s="271"/>
      <c r="F11" s="274" t="s">
        <v>570</v>
      </c>
      <c r="G11" s="238">
        <v>1</v>
      </c>
      <c r="H11" s="101" t="s">
        <v>309</v>
      </c>
      <c r="I11" s="102">
        <f t="shared" si="0"/>
        <v>77513.781512605041</v>
      </c>
      <c r="J11" s="241">
        <v>0.19</v>
      </c>
      <c r="K11" s="103">
        <v>92241.4</v>
      </c>
      <c r="L11" s="244">
        <f t="shared" ref="L11" si="8">IFERROR((SUM(K11:K13)/COUNTIF(K11:K13,"&gt;0")),0)</f>
        <v>101503.35333333333</v>
      </c>
      <c r="M11" s="104">
        <f>IF(I11=0,0,(K11)*$G$11)</f>
        <v>92241.4</v>
      </c>
      <c r="N11" s="105"/>
      <c r="O11" s="121">
        <f t="shared" si="2"/>
        <v>92241.4</v>
      </c>
      <c r="P11" s="247">
        <f t="shared" ref="P11" si="9">IFERROR((SUM(O11:O13)/COUNTIF(O11:O13,"&gt;0")),0)</f>
        <v>104007.20666666667</v>
      </c>
      <c r="Q11" s="250">
        <f t="shared" ref="Q11" si="10">IFERROR(HARMEAN(O11:O13),"")</f>
        <v>73271.338912921274</v>
      </c>
      <c r="R11" s="253">
        <f t="shared" ref="R11" si="11">IFERROR(MEDIAN(O11:O13),"")</f>
        <v>92241.4</v>
      </c>
      <c r="S11" s="107">
        <f t="shared" si="1"/>
        <v>92241.4</v>
      </c>
      <c r="T11" s="276">
        <f>IFERROR(SUM(S11:S13)/COUNTA(K11:K13),"")</f>
        <v>101503.35333333333</v>
      </c>
      <c r="U11" s="253">
        <f>IFERROR(_xlfn.STDEV.S(M11:M13),"")</f>
        <v>73295.883143670042</v>
      </c>
      <c r="V11" s="256">
        <f>IFERROR(U11/P11,"")</f>
        <v>0.70471927371894971</v>
      </c>
      <c r="W11" s="223" t="s">
        <v>1754</v>
      </c>
      <c r="X11" s="226" t="s">
        <v>2096</v>
      </c>
    </row>
    <row r="12" spans="1:24" ht="49.5" customHeight="1" x14ac:dyDescent="0.3">
      <c r="A12" s="260"/>
      <c r="B12" s="263"/>
      <c r="C12" s="293"/>
      <c r="D12" s="296"/>
      <c r="E12" s="272"/>
      <c r="F12" s="275"/>
      <c r="G12" s="239"/>
      <c r="H12" s="108" t="s">
        <v>1758</v>
      </c>
      <c r="I12" s="109">
        <f t="shared" si="0"/>
        <v>27965.260504201684</v>
      </c>
      <c r="J12" s="242"/>
      <c r="K12" s="110">
        <v>33278.660000000003</v>
      </c>
      <c r="L12" s="245"/>
      <c r="M12" s="111">
        <f t="shared" ref="M12:M13" si="12">IF(I12=0,0,(K12)*$G$11)</f>
        <v>33278.660000000003</v>
      </c>
      <c r="N12" s="112">
        <v>7511.56</v>
      </c>
      <c r="O12" s="125">
        <f t="shared" si="2"/>
        <v>40790.22</v>
      </c>
      <c r="P12" s="248"/>
      <c r="Q12" s="251"/>
      <c r="R12" s="254"/>
      <c r="S12" s="113">
        <f t="shared" si="1"/>
        <v>33278.660000000003</v>
      </c>
      <c r="T12" s="277"/>
      <c r="U12" s="254"/>
      <c r="V12" s="257"/>
      <c r="W12" s="224"/>
      <c r="X12" s="228"/>
    </row>
    <row r="13" spans="1:24" ht="49.5" customHeight="1" thickBot="1" x14ac:dyDescent="0.35">
      <c r="A13" s="261"/>
      <c r="B13" s="264"/>
      <c r="C13" s="294"/>
      <c r="D13" s="297"/>
      <c r="E13" s="273"/>
      <c r="F13" s="275"/>
      <c r="G13" s="240"/>
      <c r="H13" s="114" t="s">
        <v>543</v>
      </c>
      <c r="I13" s="126">
        <f t="shared" si="0"/>
        <v>150411.76470588235</v>
      </c>
      <c r="J13" s="243"/>
      <c r="K13" s="115">
        <v>178990</v>
      </c>
      <c r="L13" s="246"/>
      <c r="M13" s="116">
        <f t="shared" si="12"/>
        <v>178990</v>
      </c>
      <c r="N13" s="117"/>
      <c r="O13" s="106">
        <f>IF((K13+N13)=0," ",(K13+N13))</f>
        <v>178990</v>
      </c>
      <c r="P13" s="249"/>
      <c r="Q13" s="252"/>
      <c r="R13" s="255"/>
      <c r="S13" s="118">
        <f t="shared" si="1"/>
        <v>178990</v>
      </c>
      <c r="T13" s="278"/>
      <c r="U13" s="255"/>
      <c r="V13" s="258"/>
      <c r="W13" s="225"/>
      <c r="X13" s="320"/>
    </row>
    <row r="14" spans="1:24" ht="49.5" customHeight="1" x14ac:dyDescent="0.3">
      <c r="A14" s="259">
        <v>4</v>
      </c>
      <c r="B14" s="262">
        <v>32101622</v>
      </c>
      <c r="C14" s="292" t="s">
        <v>1761</v>
      </c>
      <c r="D14" s="295" t="s">
        <v>1762</v>
      </c>
      <c r="E14" s="271"/>
      <c r="F14" s="274" t="s">
        <v>570</v>
      </c>
      <c r="G14" s="238">
        <v>1</v>
      </c>
      <c r="H14" s="101" t="s">
        <v>309</v>
      </c>
      <c r="I14" s="119">
        <f t="shared" si="0"/>
        <v>621321.87394957989</v>
      </c>
      <c r="J14" s="241">
        <v>0.19</v>
      </c>
      <c r="K14" s="120">
        <v>739373.03</v>
      </c>
      <c r="L14" s="285">
        <f t="shared" ref="L14" si="13">IFERROR((SUM(K14:K16)/COUNTIF(K14:K16,"&gt;0")),0)</f>
        <v>663200.34333333338</v>
      </c>
      <c r="M14" s="127">
        <f>IF(I14=0,0,(K14)*$G$14)</f>
        <v>739373.03</v>
      </c>
      <c r="N14" s="128"/>
      <c r="O14" s="129">
        <f t="shared" si="2"/>
        <v>739373.03</v>
      </c>
      <c r="P14" s="288">
        <f t="shared" ref="P14" si="14">IFERROR((SUM(O14:O16)/COUNTIF(O14:O16,"&gt;0")),0)</f>
        <v>668925.23666666669</v>
      </c>
      <c r="Q14" s="250">
        <f t="shared" ref="Q14" si="15">IFERROR(HARMEAN(O14:O16),"")</f>
        <v>640521.28203313006</v>
      </c>
      <c r="R14" s="253">
        <f t="shared" ref="R14" si="16">IFERROR(MEDIAN(O14:O16),"")</f>
        <v>739373.03</v>
      </c>
      <c r="S14" s="107">
        <f t="shared" si="1"/>
        <v>739373.03</v>
      </c>
      <c r="T14" s="276">
        <f>IFERROR(SUM(S14:S16)/COUNTA(K14:K16),"")</f>
        <v>663200.34333333338</v>
      </c>
      <c r="U14" s="253">
        <f>IFERROR(_xlfn.STDEV.S(M14:M16),"")</f>
        <v>167429.41689414543</v>
      </c>
      <c r="V14" s="256">
        <f>IFERROR(U14/P14,"")</f>
        <v>0.25029615825001006</v>
      </c>
      <c r="W14" s="223" t="s">
        <v>1754</v>
      </c>
      <c r="X14" s="226" t="s">
        <v>2096</v>
      </c>
    </row>
    <row r="15" spans="1:24" ht="49.5" customHeight="1" x14ac:dyDescent="0.3">
      <c r="A15" s="260"/>
      <c r="B15" s="263"/>
      <c r="C15" s="293"/>
      <c r="D15" s="296"/>
      <c r="E15" s="272"/>
      <c r="F15" s="275"/>
      <c r="G15" s="239"/>
      <c r="H15" s="108" t="s">
        <v>1758</v>
      </c>
      <c r="I15" s="109">
        <f t="shared" si="0"/>
        <v>395989.91596638656</v>
      </c>
      <c r="J15" s="242"/>
      <c r="K15" s="110">
        <v>471228</v>
      </c>
      <c r="L15" s="286"/>
      <c r="M15" s="111">
        <f t="shared" ref="M15:M16" si="17">IF(I15=0,0,(K15)*$G$14)</f>
        <v>471228</v>
      </c>
      <c r="N15" s="112">
        <v>17174.68</v>
      </c>
      <c r="O15" s="125">
        <f t="shared" si="2"/>
        <v>488402.68</v>
      </c>
      <c r="P15" s="248"/>
      <c r="Q15" s="251"/>
      <c r="R15" s="254"/>
      <c r="S15" s="113">
        <f t="shared" si="1"/>
        <v>471228</v>
      </c>
      <c r="T15" s="277"/>
      <c r="U15" s="254"/>
      <c r="V15" s="257"/>
      <c r="W15" s="224"/>
      <c r="X15" s="228"/>
    </row>
    <row r="16" spans="1:24" ht="49.5" customHeight="1" thickBot="1" x14ac:dyDescent="0.35">
      <c r="A16" s="261"/>
      <c r="B16" s="264"/>
      <c r="C16" s="294"/>
      <c r="D16" s="297"/>
      <c r="E16" s="273"/>
      <c r="F16" s="275"/>
      <c r="G16" s="240"/>
      <c r="H16" s="114" t="s">
        <v>543</v>
      </c>
      <c r="I16" s="130">
        <f t="shared" si="0"/>
        <v>654621.84873949585</v>
      </c>
      <c r="J16" s="243"/>
      <c r="K16" s="131">
        <v>779000</v>
      </c>
      <c r="L16" s="287"/>
      <c r="M16" s="132">
        <f t="shared" si="17"/>
        <v>779000</v>
      </c>
      <c r="N16" s="133"/>
      <c r="O16" s="134">
        <f>IF((K16+N16)=0," ",(K16+N16))</f>
        <v>779000</v>
      </c>
      <c r="P16" s="289"/>
      <c r="Q16" s="252"/>
      <c r="R16" s="255"/>
      <c r="S16" s="118">
        <f t="shared" si="1"/>
        <v>779000</v>
      </c>
      <c r="T16" s="278"/>
      <c r="U16" s="255"/>
      <c r="V16" s="258"/>
      <c r="W16" s="225"/>
      <c r="X16" s="320"/>
    </row>
    <row r="17" spans="1:24" ht="49.5" customHeight="1" x14ac:dyDescent="0.3">
      <c r="A17" s="259">
        <v>5</v>
      </c>
      <c r="B17" s="262">
        <v>32151705</v>
      </c>
      <c r="C17" s="292" t="s">
        <v>1752</v>
      </c>
      <c r="D17" s="295" t="s">
        <v>1763</v>
      </c>
      <c r="E17" s="271"/>
      <c r="F17" s="274" t="s">
        <v>570</v>
      </c>
      <c r="G17" s="238">
        <v>1</v>
      </c>
      <c r="H17" s="101" t="s">
        <v>309</v>
      </c>
      <c r="I17" s="102">
        <f t="shared" si="0"/>
        <v>74220.605042016818</v>
      </c>
      <c r="J17" s="241">
        <v>0.19</v>
      </c>
      <c r="K17" s="103">
        <v>88322.52</v>
      </c>
      <c r="L17" s="244">
        <f t="shared" ref="L17" si="18">IFERROR((SUM(K17:K19)/COUNTIF(K17:K19,"&gt;0")),0)</f>
        <v>128696.84000000001</v>
      </c>
      <c r="M17" s="104">
        <f>IF(I17=0,0,(K17)*$G$17)</f>
        <v>88322.52</v>
      </c>
      <c r="N17" s="105">
        <v>34567.42</v>
      </c>
      <c r="O17" s="121">
        <f t="shared" si="2"/>
        <v>122889.94</v>
      </c>
      <c r="P17" s="247">
        <f t="shared" ref="P17" si="19">IFERROR((SUM(O17:O19)/COUNTIF(O17:O19,"&gt;0")),0)</f>
        <v>140219.31333333332</v>
      </c>
      <c r="Q17" s="250">
        <f t="shared" ref="Q17" si="20">IFERROR(HARMEAN(O17:O19),"")</f>
        <v>138503.86221323142</v>
      </c>
      <c r="R17" s="253">
        <f t="shared" ref="R17" si="21">IFERROR(MEDIAN(O17:O19),"")</f>
        <v>136778</v>
      </c>
      <c r="S17" s="107">
        <f t="shared" si="1"/>
        <v>88322.52</v>
      </c>
      <c r="T17" s="276">
        <f>IFERROR(SUM(S17:S19)/COUNTA(K17:K19),"")</f>
        <v>128696.84000000001</v>
      </c>
      <c r="U17" s="253">
        <f>IFERROR(_xlfn.STDEV.S(M17:M19),"")</f>
        <v>37001.615134974825</v>
      </c>
      <c r="V17" s="256">
        <f>IFERROR(U17/P17,"")</f>
        <v>0.26388387059786506</v>
      </c>
      <c r="W17" s="223" t="s">
        <v>1754</v>
      </c>
      <c r="X17" s="226" t="s">
        <v>2096</v>
      </c>
    </row>
    <row r="18" spans="1:24" ht="49.5" customHeight="1" x14ac:dyDescent="0.3">
      <c r="A18" s="260"/>
      <c r="B18" s="263"/>
      <c r="C18" s="293"/>
      <c r="D18" s="296"/>
      <c r="E18" s="272"/>
      <c r="F18" s="275"/>
      <c r="G18" s="239"/>
      <c r="H18" s="108" t="s">
        <v>1758</v>
      </c>
      <c r="I18" s="109">
        <f t="shared" si="0"/>
        <v>114939.49579831933</v>
      </c>
      <c r="J18" s="242"/>
      <c r="K18" s="110">
        <v>136778</v>
      </c>
      <c r="L18" s="245"/>
      <c r="M18" s="111">
        <f t="shared" ref="M18:M19" si="22">IF(I18=0,0,(K18)*$G$17)</f>
        <v>136778</v>
      </c>
      <c r="N18" s="112"/>
      <c r="O18" s="125">
        <f t="shared" si="2"/>
        <v>136778</v>
      </c>
      <c r="P18" s="248"/>
      <c r="Q18" s="251"/>
      <c r="R18" s="254"/>
      <c r="S18" s="113">
        <f t="shared" si="1"/>
        <v>136778</v>
      </c>
      <c r="T18" s="277"/>
      <c r="U18" s="254"/>
      <c r="V18" s="257"/>
      <c r="W18" s="224"/>
      <c r="X18" s="228"/>
    </row>
    <row r="19" spans="1:24" ht="49.5" customHeight="1" thickBot="1" x14ac:dyDescent="0.35">
      <c r="A19" s="261"/>
      <c r="B19" s="264"/>
      <c r="C19" s="294"/>
      <c r="D19" s="297"/>
      <c r="E19" s="273"/>
      <c r="F19" s="275"/>
      <c r="G19" s="240"/>
      <c r="H19" s="114" t="s">
        <v>543</v>
      </c>
      <c r="I19" s="126">
        <f t="shared" si="0"/>
        <v>135285.71428571429</v>
      </c>
      <c r="J19" s="243"/>
      <c r="K19" s="115">
        <v>160990</v>
      </c>
      <c r="L19" s="246"/>
      <c r="M19" s="132">
        <f t="shared" si="22"/>
        <v>160990</v>
      </c>
      <c r="N19" s="133"/>
      <c r="O19" s="134">
        <f>IF((K19+N19)=0," ",(K19+N19))</f>
        <v>160990</v>
      </c>
      <c r="P19" s="289"/>
      <c r="Q19" s="252"/>
      <c r="R19" s="255"/>
      <c r="S19" s="118">
        <f t="shared" si="1"/>
        <v>160990</v>
      </c>
      <c r="T19" s="278"/>
      <c r="U19" s="255"/>
      <c r="V19" s="258"/>
      <c r="W19" s="225"/>
      <c r="X19" s="320"/>
    </row>
    <row r="20" spans="1:24" ht="49.5" customHeight="1" x14ac:dyDescent="0.3">
      <c r="A20" s="259">
        <v>6</v>
      </c>
      <c r="B20" s="262">
        <v>32151705</v>
      </c>
      <c r="C20" s="292" t="s">
        <v>1752</v>
      </c>
      <c r="D20" s="295" t="s">
        <v>1764</v>
      </c>
      <c r="E20" s="271"/>
      <c r="F20" s="274" t="s">
        <v>570</v>
      </c>
      <c r="G20" s="238">
        <v>1</v>
      </c>
      <c r="H20" s="101" t="s">
        <v>309</v>
      </c>
      <c r="I20" s="102">
        <f t="shared" si="0"/>
        <v>114919.22689075631</v>
      </c>
      <c r="J20" s="241">
        <v>0.19</v>
      </c>
      <c r="K20" s="103">
        <v>136753.88</v>
      </c>
      <c r="L20" s="244">
        <f t="shared" ref="L20" si="23">IFERROR((SUM(K20:K22)/COUNTIF(K20:K22,"&gt;0")),0)</f>
        <v>140601.62666666668</v>
      </c>
      <c r="M20" s="104">
        <f>IF(I20=0,0,(K20)*G$20)</f>
        <v>136753.88</v>
      </c>
      <c r="N20" s="105"/>
      <c r="O20" s="121">
        <f t="shared" si="2"/>
        <v>136753.88</v>
      </c>
      <c r="P20" s="247">
        <f t="shared" ref="P20" si="24">IFERROR((SUM(O20:O22)/COUNTIF(O20:O22,"&gt;0")),0)</f>
        <v>146263.60666666666</v>
      </c>
      <c r="Q20" s="250">
        <f t="shared" ref="Q20" si="25">IFERROR(HARMEAN(O20:O22),"")</f>
        <v>134318.44931402244</v>
      </c>
      <c r="R20" s="253">
        <f t="shared" ref="R20" si="26">IFERROR(MEDIAN(O20:O22),"")</f>
        <v>136753.88</v>
      </c>
      <c r="S20" s="107">
        <f t="shared" si="1"/>
        <v>136753.88</v>
      </c>
      <c r="T20" s="276">
        <f>IFERROR(SUM(S20:S22)/COUNTA(K20:K22),"")</f>
        <v>140601.62666666668</v>
      </c>
      <c r="U20" s="253">
        <f>IFERROR(_xlfn.STDEV.S(M20:M22),"")</f>
        <v>60556.251750402553</v>
      </c>
      <c r="V20" s="256">
        <f>IFERROR(U20/P20,"")</f>
        <v>0.41402132171135136</v>
      </c>
      <c r="W20" s="223" t="s">
        <v>1754</v>
      </c>
      <c r="X20" s="226" t="s">
        <v>2096</v>
      </c>
    </row>
    <row r="21" spans="1:24" ht="49.5" customHeight="1" x14ac:dyDescent="0.3">
      <c r="A21" s="260"/>
      <c r="B21" s="263"/>
      <c r="C21" s="293"/>
      <c r="D21" s="296"/>
      <c r="E21" s="272"/>
      <c r="F21" s="275"/>
      <c r="G21" s="239"/>
      <c r="H21" s="108" t="s">
        <v>1758</v>
      </c>
      <c r="I21" s="109">
        <f t="shared" si="0"/>
        <v>68958.823529411762</v>
      </c>
      <c r="J21" s="242"/>
      <c r="K21" s="110">
        <v>82061</v>
      </c>
      <c r="L21" s="245"/>
      <c r="M21" s="111">
        <f t="shared" ref="M21:M22" si="27">IF(I21=0,0,(K21)*G$20)</f>
        <v>82061</v>
      </c>
      <c r="N21" s="112">
        <v>16985.939999999999</v>
      </c>
      <c r="O21" s="125">
        <f t="shared" si="2"/>
        <v>99046.94</v>
      </c>
      <c r="P21" s="248"/>
      <c r="Q21" s="251"/>
      <c r="R21" s="254"/>
      <c r="S21" s="113">
        <f t="shared" si="1"/>
        <v>82061</v>
      </c>
      <c r="T21" s="277"/>
      <c r="U21" s="254"/>
      <c r="V21" s="257"/>
      <c r="W21" s="224"/>
      <c r="X21" s="228"/>
    </row>
    <row r="22" spans="1:24" ht="49.5" customHeight="1" thickBot="1" x14ac:dyDescent="0.35">
      <c r="A22" s="261"/>
      <c r="B22" s="264"/>
      <c r="C22" s="294"/>
      <c r="D22" s="297"/>
      <c r="E22" s="272"/>
      <c r="F22" s="275"/>
      <c r="G22" s="239"/>
      <c r="H22" s="114" t="s">
        <v>543</v>
      </c>
      <c r="I22" s="126">
        <f t="shared" si="0"/>
        <v>170579.83193277312</v>
      </c>
      <c r="J22" s="243"/>
      <c r="K22" s="115">
        <v>202990</v>
      </c>
      <c r="L22" s="246"/>
      <c r="M22" s="116">
        <f t="shared" si="27"/>
        <v>202990</v>
      </c>
      <c r="N22" s="117"/>
      <c r="O22" s="134">
        <f>IF((K22+N22)=0," ",(K22+N22))</f>
        <v>202990</v>
      </c>
      <c r="P22" s="249"/>
      <c r="Q22" s="252"/>
      <c r="R22" s="255"/>
      <c r="S22" s="135">
        <f t="shared" si="1"/>
        <v>202990</v>
      </c>
      <c r="T22" s="280"/>
      <c r="U22" s="282"/>
      <c r="V22" s="284"/>
      <c r="W22" s="225"/>
      <c r="X22" s="320"/>
    </row>
    <row r="23" spans="1:24" ht="49.5" customHeight="1" x14ac:dyDescent="0.3">
      <c r="A23" s="259">
        <v>7</v>
      </c>
      <c r="B23" s="262">
        <v>20122902</v>
      </c>
      <c r="C23" s="292" t="s">
        <v>1765</v>
      </c>
      <c r="D23" s="295" t="s">
        <v>1766</v>
      </c>
      <c r="E23" s="271"/>
      <c r="F23" s="274" t="s">
        <v>570</v>
      </c>
      <c r="G23" s="238">
        <v>1</v>
      </c>
      <c r="H23" s="101" t="s">
        <v>309</v>
      </c>
      <c r="I23" s="102">
        <f t="shared" si="0"/>
        <v>40015.126050420171</v>
      </c>
      <c r="J23" s="241">
        <v>0.19</v>
      </c>
      <c r="K23" s="103">
        <v>47618</v>
      </c>
      <c r="L23" s="244">
        <f t="shared" ref="L23" si="28">IFERROR((SUM(K23:K25)/COUNTIF(K23:K25,"&gt;0")),0)</f>
        <v>75562.666666666672</v>
      </c>
      <c r="M23" s="104">
        <f>IF(I23=0,0,(K23)*G$23)</f>
        <v>47618</v>
      </c>
      <c r="N23" s="105">
        <v>33901.949999999997</v>
      </c>
      <c r="O23" s="121">
        <f t="shared" si="2"/>
        <v>81519.95</v>
      </c>
      <c r="P23" s="247">
        <f t="shared" ref="P23" si="29">IFERROR((SUM(O23:O25)/COUNTIF(O23:O25,"&gt;0")),0)</f>
        <v>89367.17</v>
      </c>
      <c r="Q23" s="250">
        <f t="shared" ref="Q23" si="30">IFERROR(HARMEAN(O23:O25),"")</f>
        <v>61763.097587390788</v>
      </c>
      <c r="R23" s="253">
        <f t="shared" ref="R23" si="31">IFERROR(MEDIAN(O23:O25),"")</f>
        <v>81519.95</v>
      </c>
      <c r="S23" s="107">
        <f t="shared" si="1"/>
        <v>47618</v>
      </c>
      <c r="T23" s="276">
        <f>IFERROR(SUM(S23:S25)/COUNTA(K23:K25),"")</f>
        <v>75562.666666666672</v>
      </c>
      <c r="U23" s="253">
        <f>IFERROR(_xlfn.STDEV.S(M23:M25),"")</f>
        <v>67913.292670384733</v>
      </c>
      <c r="V23" s="256">
        <f>IFERROR(U23/P23,"")</f>
        <v>0.75993558563379293</v>
      </c>
      <c r="W23" s="223" t="s">
        <v>1754</v>
      </c>
      <c r="X23" s="226" t="s">
        <v>2096</v>
      </c>
    </row>
    <row r="24" spans="1:24" ht="49.5" customHeight="1" x14ac:dyDescent="0.3">
      <c r="A24" s="260"/>
      <c r="B24" s="263"/>
      <c r="C24" s="293"/>
      <c r="D24" s="296"/>
      <c r="E24" s="272"/>
      <c r="F24" s="275"/>
      <c r="G24" s="239"/>
      <c r="H24" s="108" t="s">
        <v>1758</v>
      </c>
      <c r="I24" s="109">
        <f t="shared" si="0"/>
        <v>21915.966386554624</v>
      </c>
      <c r="J24" s="242"/>
      <c r="K24" s="110">
        <v>26080</v>
      </c>
      <c r="L24" s="245"/>
      <c r="M24" s="111">
        <f>IF(I24=0,0,(K24)*G$23)</f>
        <v>26080</v>
      </c>
      <c r="N24" s="112">
        <v>7511.56</v>
      </c>
      <c r="O24" s="125">
        <f t="shared" si="2"/>
        <v>33591.56</v>
      </c>
      <c r="P24" s="248"/>
      <c r="Q24" s="251"/>
      <c r="R24" s="254"/>
      <c r="S24" s="113">
        <f t="shared" si="1"/>
        <v>26080</v>
      </c>
      <c r="T24" s="277"/>
      <c r="U24" s="254"/>
      <c r="V24" s="257"/>
      <c r="W24" s="224"/>
      <c r="X24" s="228"/>
    </row>
    <row r="25" spans="1:24" ht="49.5" customHeight="1" thickBot="1" x14ac:dyDescent="0.35">
      <c r="A25" s="261"/>
      <c r="B25" s="264"/>
      <c r="C25" s="294"/>
      <c r="D25" s="297"/>
      <c r="E25" s="273"/>
      <c r="F25" s="275"/>
      <c r="G25" s="240"/>
      <c r="H25" s="114" t="s">
        <v>543</v>
      </c>
      <c r="I25" s="126">
        <f t="shared" si="0"/>
        <v>128563.02521008404</v>
      </c>
      <c r="J25" s="243"/>
      <c r="K25" s="115">
        <v>152990</v>
      </c>
      <c r="L25" s="246"/>
      <c r="M25" s="116">
        <f>IF(I25=0,0,(K25)*G$23)</f>
        <v>152990</v>
      </c>
      <c r="N25" s="117"/>
      <c r="O25" s="134">
        <f>IF((K25+N25)=0," ",(K25+N25))</f>
        <v>152990</v>
      </c>
      <c r="P25" s="249"/>
      <c r="Q25" s="252"/>
      <c r="R25" s="255"/>
      <c r="S25" s="118">
        <f t="shared" si="1"/>
        <v>152990</v>
      </c>
      <c r="T25" s="278"/>
      <c r="U25" s="255"/>
      <c r="V25" s="258"/>
      <c r="W25" s="225"/>
      <c r="X25" s="320"/>
    </row>
    <row r="26" spans="1:24" ht="49.5" customHeight="1" x14ac:dyDescent="0.3">
      <c r="A26" s="259">
        <v>8</v>
      </c>
      <c r="B26" s="262">
        <v>20122902</v>
      </c>
      <c r="C26" s="292" t="s">
        <v>1765</v>
      </c>
      <c r="D26" s="295" t="s">
        <v>1767</v>
      </c>
      <c r="E26" s="271"/>
      <c r="F26" s="274" t="s">
        <v>570</v>
      </c>
      <c r="G26" s="238">
        <v>1</v>
      </c>
      <c r="H26" s="101" t="s">
        <v>309</v>
      </c>
      <c r="I26" s="102">
        <f t="shared" si="0"/>
        <v>45358.764705882357</v>
      </c>
      <c r="J26" s="241">
        <v>0.19</v>
      </c>
      <c r="K26" s="103">
        <v>53976.93</v>
      </c>
      <c r="L26" s="244">
        <f t="shared" ref="L26" si="32">IFERROR((SUM(K26:K28)/COUNTIF(K26:K28,"&gt;0")),0)</f>
        <v>43676.31</v>
      </c>
      <c r="M26" s="104">
        <f>IF(I26=0,0,(K26)*G$26)</f>
        <v>53976.93</v>
      </c>
      <c r="N26" s="105">
        <v>33864.980000000003</v>
      </c>
      <c r="O26" s="121">
        <f t="shared" si="2"/>
        <v>87841.91</v>
      </c>
      <c r="P26" s="247">
        <f t="shared" ref="P26" si="33">IFERROR((SUM(O26:O28)/COUNTIF(O26:O28,"&gt;0")),0)</f>
        <v>60377.303333333337</v>
      </c>
      <c r="Q26" s="250">
        <f t="shared" ref="Q26" si="34">IFERROR(HARMEAN(O26:O28),"")</f>
        <v>55164.516873853783</v>
      </c>
      <c r="R26" s="253">
        <f t="shared" ref="R26" si="35">IFERROR(MEDIAN(O26:O28),"")</f>
        <v>49126</v>
      </c>
      <c r="S26" s="107">
        <f t="shared" si="1"/>
        <v>53976.93</v>
      </c>
      <c r="T26" s="276">
        <f>IFERROR(SUM(S26:S28)/COUNTA(K26:K28),"")</f>
        <v>43676.31</v>
      </c>
      <c r="U26" s="253">
        <f>IFERROR(_xlfn.STDEV.S(M26:M28),"")</f>
        <v>10552.920130859538</v>
      </c>
      <c r="V26" s="256">
        <f>IFERROR(U26/P26,"")</f>
        <v>0.17478289933882227</v>
      </c>
      <c r="W26" s="223" t="s">
        <v>1754</v>
      </c>
      <c r="X26" s="226" t="s">
        <v>2096</v>
      </c>
    </row>
    <row r="27" spans="1:24" ht="49.5" customHeight="1" x14ac:dyDescent="0.3">
      <c r="A27" s="260"/>
      <c r="B27" s="263"/>
      <c r="C27" s="293"/>
      <c r="D27" s="296"/>
      <c r="E27" s="272"/>
      <c r="F27" s="275"/>
      <c r="G27" s="239"/>
      <c r="H27" s="108" t="s">
        <v>1758</v>
      </c>
      <c r="I27" s="109">
        <f t="shared" si="0"/>
        <v>37112.60504201681</v>
      </c>
      <c r="J27" s="242"/>
      <c r="K27" s="110">
        <v>44164</v>
      </c>
      <c r="L27" s="245"/>
      <c r="M27" s="111">
        <f>IF(I27=0,0,(K27)*G$26)</f>
        <v>44164</v>
      </c>
      <c r="N27" s="112"/>
      <c r="O27" s="125">
        <f t="shared" si="2"/>
        <v>44164</v>
      </c>
      <c r="P27" s="248"/>
      <c r="Q27" s="251"/>
      <c r="R27" s="254"/>
      <c r="S27" s="113">
        <f t="shared" si="1"/>
        <v>44164</v>
      </c>
      <c r="T27" s="277"/>
      <c r="U27" s="254"/>
      <c r="V27" s="257"/>
      <c r="W27" s="224"/>
      <c r="X27" s="228"/>
    </row>
    <row r="28" spans="1:24" ht="49.5" customHeight="1" thickBot="1" x14ac:dyDescent="0.35">
      <c r="A28" s="261"/>
      <c r="B28" s="264"/>
      <c r="C28" s="294"/>
      <c r="D28" s="297"/>
      <c r="E28" s="273"/>
      <c r="F28" s="275"/>
      <c r="G28" s="240"/>
      <c r="H28" s="114" t="s">
        <v>543</v>
      </c>
      <c r="I28" s="126">
        <f t="shared" si="0"/>
        <v>27636.974789915967</v>
      </c>
      <c r="J28" s="243"/>
      <c r="K28" s="115">
        <v>32888</v>
      </c>
      <c r="L28" s="246"/>
      <c r="M28" s="116">
        <f>IF(I28=0,0,(K28)*G$26)</f>
        <v>32888</v>
      </c>
      <c r="N28" s="117">
        <v>16238</v>
      </c>
      <c r="O28" s="134">
        <f>IF((K28+N28)=0," ",(K28+N28))</f>
        <v>49126</v>
      </c>
      <c r="P28" s="249"/>
      <c r="Q28" s="252"/>
      <c r="R28" s="255"/>
      <c r="S28" s="118">
        <f t="shared" si="1"/>
        <v>32888</v>
      </c>
      <c r="T28" s="278"/>
      <c r="U28" s="255"/>
      <c r="V28" s="258"/>
      <c r="W28" s="225"/>
      <c r="X28" s="320"/>
    </row>
    <row r="29" spans="1:24" ht="49.5" customHeight="1" x14ac:dyDescent="0.3">
      <c r="A29" s="259">
        <v>9</v>
      </c>
      <c r="B29" s="262">
        <v>43202005</v>
      </c>
      <c r="C29" s="292" t="s">
        <v>1768</v>
      </c>
      <c r="D29" s="295" t="s">
        <v>1769</v>
      </c>
      <c r="E29" s="271"/>
      <c r="F29" s="274" t="s">
        <v>570</v>
      </c>
      <c r="G29" s="238">
        <v>1</v>
      </c>
      <c r="H29" s="101" t="s">
        <v>309</v>
      </c>
      <c r="I29" s="119">
        <f t="shared" si="0"/>
        <v>528118.93277310929</v>
      </c>
      <c r="J29" s="241">
        <v>0.19</v>
      </c>
      <c r="K29" s="120">
        <v>628461.53</v>
      </c>
      <c r="L29" s="285">
        <f t="shared" ref="L29" si="36">IFERROR((SUM(K29:K31)/COUNTIF(K29:K31,"&gt;0")),0)</f>
        <v>821518.84333333338</v>
      </c>
      <c r="M29" s="104">
        <f>IF(I29=0,0,(K29)*G$29)</f>
        <v>628461.53</v>
      </c>
      <c r="N29" s="105"/>
      <c r="O29" s="121">
        <f t="shared" si="2"/>
        <v>628461.53</v>
      </c>
      <c r="P29" s="247">
        <f t="shared" ref="P29" si="37">IFERROR((SUM(O29:O31)/COUNTIF(O29:O31,"&gt;0")),0)</f>
        <v>826564.38666666672</v>
      </c>
      <c r="Q29" s="250">
        <f t="shared" ref="Q29" si="38">IFERROR(HARMEAN(O29:O31),"")</f>
        <v>793204.10526881646</v>
      </c>
      <c r="R29" s="253">
        <f t="shared" ref="R29" si="39">IFERROR(MEDIAN(O29:O31),"")</f>
        <v>816911.63</v>
      </c>
      <c r="S29" s="107">
        <f t="shared" si="1"/>
        <v>628461.53</v>
      </c>
      <c r="T29" s="315">
        <f>IFERROR(SUM(S29:S31)/COUNTA(K29:K31),"")</f>
        <v>821518.84333333338</v>
      </c>
      <c r="U29" s="304">
        <f>IFERROR(_xlfn.STDEV.S(M29:M31),"")</f>
        <v>203648.32169665283</v>
      </c>
      <c r="V29" s="307">
        <f>IFERROR(U29/P29,"")</f>
        <v>0.24637925971855262</v>
      </c>
      <c r="W29" s="223" t="s">
        <v>1754</v>
      </c>
      <c r="X29" s="226" t="s">
        <v>2096</v>
      </c>
    </row>
    <row r="30" spans="1:24" ht="49.5" customHeight="1" x14ac:dyDescent="0.3">
      <c r="A30" s="260"/>
      <c r="B30" s="263"/>
      <c r="C30" s="293"/>
      <c r="D30" s="296"/>
      <c r="E30" s="272"/>
      <c r="F30" s="275"/>
      <c r="G30" s="239"/>
      <c r="H30" s="108" t="s">
        <v>1758</v>
      </c>
      <c r="I30" s="109">
        <f t="shared" si="0"/>
        <v>673760.50420168065</v>
      </c>
      <c r="J30" s="242"/>
      <c r="K30" s="110">
        <v>801775</v>
      </c>
      <c r="L30" s="286"/>
      <c r="M30" s="111">
        <f>IF(I30=0,0,(K30)*G$29)</f>
        <v>801775</v>
      </c>
      <c r="N30" s="112">
        <v>15136.63</v>
      </c>
      <c r="O30" s="125">
        <f t="shared" si="2"/>
        <v>816911.63</v>
      </c>
      <c r="P30" s="248"/>
      <c r="Q30" s="251"/>
      <c r="R30" s="254"/>
      <c r="S30" s="113">
        <f t="shared" si="1"/>
        <v>801775</v>
      </c>
      <c r="T30" s="310"/>
      <c r="U30" s="305"/>
      <c r="V30" s="308"/>
      <c r="W30" s="224"/>
      <c r="X30" s="228"/>
    </row>
    <row r="31" spans="1:24" ht="49.5" customHeight="1" thickBot="1" x14ac:dyDescent="0.35">
      <c r="A31" s="261"/>
      <c r="B31" s="264"/>
      <c r="C31" s="294"/>
      <c r="D31" s="297"/>
      <c r="E31" s="273"/>
      <c r="F31" s="275"/>
      <c r="G31" s="240"/>
      <c r="H31" s="114" t="s">
        <v>543</v>
      </c>
      <c r="I31" s="130">
        <f t="shared" si="0"/>
        <v>869176.4705882353</v>
      </c>
      <c r="J31" s="243"/>
      <c r="K31" s="131">
        <v>1034320</v>
      </c>
      <c r="L31" s="287"/>
      <c r="M31" s="116">
        <f>IF(I31=0,0,(K31)*G$29)</f>
        <v>1034320</v>
      </c>
      <c r="N31" s="117"/>
      <c r="O31" s="134">
        <f>IF((K31+N31)=0," ",(K31+N31))</f>
        <v>1034320</v>
      </c>
      <c r="P31" s="249"/>
      <c r="Q31" s="252"/>
      <c r="R31" s="255"/>
      <c r="S31" s="118">
        <f t="shared" si="1"/>
        <v>1034320</v>
      </c>
      <c r="T31" s="311"/>
      <c r="U31" s="306"/>
      <c r="V31" s="309"/>
      <c r="W31" s="225"/>
      <c r="X31" s="320"/>
    </row>
    <row r="32" spans="1:24" ht="49.5" customHeight="1" x14ac:dyDescent="0.3">
      <c r="A32" s="259">
        <v>10</v>
      </c>
      <c r="B32" s="262">
        <v>39131700</v>
      </c>
      <c r="C32" s="292" t="s">
        <v>1770</v>
      </c>
      <c r="D32" s="312" t="s">
        <v>1771</v>
      </c>
      <c r="E32" s="272"/>
      <c r="F32" s="274" t="s">
        <v>570</v>
      </c>
      <c r="G32" s="239">
        <v>1</v>
      </c>
      <c r="H32" s="101" t="s">
        <v>309</v>
      </c>
      <c r="I32" s="102">
        <f t="shared" si="0"/>
        <v>14260.050420168067</v>
      </c>
      <c r="J32" s="241">
        <v>0.19</v>
      </c>
      <c r="K32" s="103">
        <v>16969.46</v>
      </c>
      <c r="L32" s="244">
        <f t="shared" ref="L32" si="40">IFERROR((SUM(K32:K34)/COUNTIF(K32:K34,"&gt;0")),0)</f>
        <v>12606.486666666666</v>
      </c>
      <c r="M32" s="104">
        <f>IF(I32=0,0,(K32)*G$32)</f>
        <v>16969.46</v>
      </c>
      <c r="N32" s="105">
        <v>34012.86</v>
      </c>
      <c r="O32" s="121">
        <f t="shared" si="2"/>
        <v>50982.32</v>
      </c>
      <c r="P32" s="247">
        <f t="shared" ref="P32" si="41">IFERROR((SUM(O32:O34)/COUNTIF(O32:O34,"&gt;0")),0)</f>
        <v>26447.960000000003</v>
      </c>
      <c r="Q32" s="250">
        <f t="shared" ref="Q32" si="42">IFERROR(HARMEAN(O32:O34),"")</f>
        <v>17994.079332764428</v>
      </c>
      <c r="R32" s="253">
        <f t="shared" ref="R32" si="43">IFERROR(MEDIAN(O32:O34),"")</f>
        <v>17061.560000000001</v>
      </c>
      <c r="S32" s="122">
        <f t="shared" si="1"/>
        <v>16969.46</v>
      </c>
      <c r="T32" s="310">
        <f>IFERROR(SUM(S32:S34)/COUNTA(K32:K34),"")</f>
        <v>12606.486666666666</v>
      </c>
      <c r="U32" s="305">
        <f>IFERROR(_xlfn.STDEV.S(M32:M34),"")</f>
        <v>3878.4374728147072</v>
      </c>
      <c r="V32" s="308">
        <f>IFERROR(U32/P32,"")</f>
        <v>0.146644106873071</v>
      </c>
      <c r="W32" s="223" t="s">
        <v>1754</v>
      </c>
      <c r="X32" s="226" t="s">
        <v>2096</v>
      </c>
    </row>
    <row r="33" spans="1:24" ht="49.5" customHeight="1" x14ac:dyDescent="0.3">
      <c r="A33" s="260"/>
      <c r="B33" s="263"/>
      <c r="C33" s="293"/>
      <c r="D33" s="313"/>
      <c r="E33" s="272"/>
      <c r="F33" s="275"/>
      <c r="G33" s="239"/>
      <c r="H33" s="108" t="s">
        <v>1758</v>
      </c>
      <c r="I33" s="109">
        <f t="shared" si="0"/>
        <v>8025.2100840336134</v>
      </c>
      <c r="J33" s="242"/>
      <c r="K33" s="110">
        <v>9550</v>
      </c>
      <c r="L33" s="245"/>
      <c r="M33" s="111">
        <f>IF(I33=0,0,(K33)*G$32)</f>
        <v>9550</v>
      </c>
      <c r="N33" s="112">
        <v>7511.56</v>
      </c>
      <c r="O33" s="125">
        <f t="shared" si="2"/>
        <v>17061.560000000001</v>
      </c>
      <c r="P33" s="248"/>
      <c r="Q33" s="251"/>
      <c r="R33" s="254"/>
      <c r="S33" s="113">
        <f t="shared" si="1"/>
        <v>9550</v>
      </c>
      <c r="T33" s="310"/>
      <c r="U33" s="305"/>
      <c r="V33" s="308"/>
      <c r="W33" s="224"/>
      <c r="X33" s="228"/>
    </row>
    <row r="34" spans="1:24" ht="49.5" customHeight="1" thickBot="1" x14ac:dyDescent="0.35">
      <c r="A34" s="261"/>
      <c r="B34" s="264"/>
      <c r="C34" s="294"/>
      <c r="D34" s="314"/>
      <c r="E34" s="273"/>
      <c r="F34" s="275"/>
      <c r="G34" s="240"/>
      <c r="H34" s="114" t="s">
        <v>543</v>
      </c>
      <c r="I34" s="126">
        <f t="shared" si="0"/>
        <v>9495.7983193277323</v>
      </c>
      <c r="J34" s="243"/>
      <c r="K34" s="115">
        <v>11300</v>
      </c>
      <c r="L34" s="246"/>
      <c r="M34" s="116">
        <f>IF(I34=0,0,(K34)*G$32)</f>
        <v>11300</v>
      </c>
      <c r="N34" s="117"/>
      <c r="O34" s="134">
        <f>IF((K34+N34)=0," ",(K34+N34))</f>
        <v>11300</v>
      </c>
      <c r="P34" s="249"/>
      <c r="Q34" s="252"/>
      <c r="R34" s="255"/>
      <c r="S34" s="118">
        <f t="shared" si="1"/>
        <v>11300</v>
      </c>
      <c r="T34" s="311"/>
      <c r="U34" s="306"/>
      <c r="V34" s="309"/>
      <c r="W34" s="225"/>
      <c r="X34" s="320"/>
    </row>
    <row r="35" spans="1:24" ht="49.5" customHeight="1" x14ac:dyDescent="0.3">
      <c r="A35" s="259">
        <v>11</v>
      </c>
      <c r="B35" s="262">
        <v>39131700</v>
      </c>
      <c r="C35" s="292" t="s">
        <v>1770</v>
      </c>
      <c r="D35" s="295" t="s">
        <v>1772</v>
      </c>
      <c r="E35" s="271"/>
      <c r="F35" s="274" t="s">
        <v>570</v>
      </c>
      <c r="G35" s="238">
        <v>1</v>
      </c>
      <c r="H35" s="101" t="s">
        <v>309</v>
      </c>
      <c r="I35" s="102">
        <f t="shared" si="0"/>
        <v>14260.050420168067</v>
      </c>
      <c r="J35" s="241">
        <v>0.19</v>
      </c>
      <c r="K35" s="103">
        <v>16969.46</v>
      </c>
      <c r="L35" s="244">
        <f t="shared" ref="L35" si="44">IFERROR((SUM(K35:K37)/COUNTIF(K35:K37,"&gt;0")),0)</f>
        <v>11776.82</v>
      </c>
      <c r="M35" s="104">
        <f>IF(I35=0,0,(K35)*G$35)</f>
        <v>16969.46</v>
      </c>
      <c r="N35" s="105">
        <v>34012.86</v>
      </c>
      <c r="O35" s="121">
        <f t="shared" si="2"/>
        <v>50982.32</v>
      </c>
      <c r="P35" s="247">
        <f t="shared" ref="P35" si="45">IFERROR((SUM(O35:O37)/COUNTIF(O35:O37,"&gt;0")),0)</f>
        <v>25618.293333333335</v>
      </c>
      <c r="Q35" s="250">
        <f t="shared" ref="Q35" si="46">IFERROR(HARMEAN(O35:O37),"")</f>
        <v>16876.53065470394</v>
      </c>
      <c r="R35" s="253">
        <f t="shared" ref="R35" si="47">IFERROR(MEDIAN(O35:O37),"")</f>
        <v>14872.560000000001</v>
      </c>
      <c r="S35" s="107">
        <f t="shared" si="1"/>
        <v>16969.46</v>
      </c>
      <c r="T35" s="315">
        <f>IFERROR(SUM(S35:S37)/COUNTA(K35:K37),"")</f>
        <v>11776.82</v>
      </c>
      <c r="U35" s="304">
        <f>IFERROR(_xlfn.STDEV.S(M35:M37),"")</f>
        <v>4851.1042946116895</v>
      </c>
      <c r="V35" s="307">
        <f>IFERROR(U35/P35,"")</f>
        <v>0.18936094733132194</v>
      </c>
      <c r="W35" s="223" t="s">
        <v>1754</v>
      </c>
      <c r="X35" s="226" t="s">
        <v>2096</v>
      </c>
    </row>
    <row r="36" spans="1:24" ht="49.5" customHeight="1" x14ac:dyDescent="0.3">
      <c r="A36" s="260"/>
      <c r="B36" s="263"/>
      <c r="C36" s="293"/>
      <c r="D36" s="296"/>
      <c r="E36" s="272"/>
      <c r="F36" s="275"/>
      <c r="G36" s="239"/>
      <c r="H36" s="108" t="s">
        <v>1758</v>
      </c>
      <c r="I36" s="109">
        <f t="shared" si="0"/>
        <v>6185.7142857142862</v>
      </c>
      <c r="J36" s="242"/>
      <c r="K36" s="110">
        <v>7361</v>
      </c>
      <c r="L36" s="245"/>
      <c r="M36" s="111">
        <f t="shared" ref="M36:M37" si="48">IF(I36=0,0,(K36)*G$35)</f>
        <v>7361</v>
      </c>
      <c r="N36" s="112">
        <v>7511.56</v>
      </c>
      <c r="O36" s="125">
        <f t="shared" si="2"/>
        <v>14872.560000000001</v>
      </c>
      <c r="P36" s="248"/>
      <c r="Q36" s="251"/>
      <c r="R36" s="254"/>
      <c r="S36" s="113">
        <f t="shared" si="1"/>
        <v>7361</v>
      </c>
      <c r="T36" s="310"/>
      <c r="U36" s="305"/>
      <c r="V36" s="308"/>
      <c r="W36" s="224"/>
      <c r="X36" s="228"/>
    </row>
    <row r="37" spans="1:24" ht="49.5" customHeight="1" thickBot="1" x14ac:dyDescent="0.35">
      <c r="A37" s="261"/>
      <c r="B37" s="264"/>
      <c r="C37" s="294"/>
      <c r="D37" s="297"/>
      <c r="E37" s="273"/>
      <c r="F37" s="275"/>
      <c r="G37" s="240"/>
      <c r="H37" s="114" t="s">
        <v>543</v>
      </c>
      <c r="I37" s="126">
        <f t="shared" si="0"/>
        <v>9243.6974789915967</v>
      </c>
      <c r="J37" s="243"/>
      <c r="K37" s="115">
        <v>11000</v>
      </c>
      <c r="L37" s="246"/>
      <c r="M37" s="116">
        <f t="shared" si="48"/>
        <v>11000</v>
      </c>
      <c r="N37" s="117"/>
      <c r="O37" s="134">
        <f>IF((K37+N37)=0," ",(K37+N37))</f>
        <v>11000</v>
      </c>
      <c r="P37" s="249"/>
      <c r="Q37" s="252"/>
      <c r="R37" s="255"/>
      <c r="S37" s="118">
        <f t="shared" si="1"/>
        <v>11000</v>
      </c>
      <c r="T37" s="311"/>
      <c r="U37" s="306"/>
      <c r="V37" s="309"/>
      <c r="W37" s="225"/>
      <c r="X37" s="320"/>
    </row>
    <row r="38" spans="1:24" ht="49.5" customHeight="1" x14ac:dyDescent="0.3">
      <c r="A38" s="259">
        <v>12</v>
      </c>
      <c r="B38" s="262">
        <v>39131700</v>
      </c>
      <c r="C38" s="292" t="s">
        <v>1770</v>
      </c>
      <c r="D38" s="295" t="s">
        <v>1773</v>
      </c>
      <c r="E38" s="271"/>
      <c r="F38" s="274" t="s">
        <v>570</v>
      </c>
      <c r="G38" s="238">
        <v>1</v>
      </c>
      <c r="H38" s="101" t="s">
        <v>309</v>
      </c>
      <c r="I38" s="102">
        <f t="shared" si="0"/>
        <v>12395.991596638656</v>
      </c>
      <c r="J38" s="241">
        <v>0.19</v>
      </c>
      <c r="K38" s="103">
        <v>14751.23</v>
      </c>
      <c r="L38" s="244">
        <f t="shared" ref="L38" si="49">IFERROR((SUM(K38:K40)/COUNTIF(K38:K40,"&gt;0")),0)</f>
        <v>11254.076666666666</v>
      </c>
      <c r="M38" s="104">
        <f>IF(I38=0,0,(K38)*G$38)</f>
        <v>14751.23</v>
      </c>
      <c r="N38" s="105">
        <v>34382.559999999998</v>
      </c>
      <c r="O38" s="121">
        <f t="shared" si="2"/>
        <v>49133.789999999994</v>
      </c>
      <c r="P38" s="247">
        <f t="shared" ref="P38" si="50">IFERROR((SUM(O38:O40)/COUNTIF(O38:O40,"&gt;0")),0)</f>
        <v>25218.783333333329</v>
      </c>
      <c r="Q38" s="250">
        <f t="shared" ref="Q38" si="51">IFERROR(HARMEAN(O38:O40),"")</f>
        <v>17384.60960726007</v>
      </c>
      <c r="R38" s="253">
        <f t="shared" ref="R38" si="52">IFERROR(MEDIAN(O38:O40),"")</f>
        <v>14532.560000000001</v>
      </c>
      <c r="S38" s="107">
        <f t="shared" si="1"/>
        <v>14751.23</v>
      </c>
      <c r="T38" s="276">
        <f>IFERROR(SUM(S38:S40)/COUNTA(K38:K40),"")</f>
        <v>11254.076666666666</v>
      </c>
      <c r="U38" s="253">
        <f>IFERROR(_xlfn.STDEV.S(M38:M40),"")</f>
        <v>3917.3079184094468</v>
      </c>
      <c r="V38" s="256">
        <f>IFERROR(U38/P38,"")</f>
        <v>0.15533294634526174</v>
      </c>
      <c r="W38" s="223" t="s">
        <v>1754</v>
      </c>
      <c r="X38" s="226" t="s">
        <v>2096</v>
      </c>
    </row>
    <row r="39" spans="1:24" ht="49.5" customHeight="1" x14ac:dyDescent="0.3">
      <c r="A39" s="260"/>
      <c r="B39" s="263"/>
      <c r="C39" s="293"/>
      <c r="D39" s="296"/>
      <c r="E39" s="272"/>
      <c r="F39" s="275"/>
      <c r="G39" s="239"/>
      <c r="H39" s="108" t="s">
        <v>1758</v>
      </c>
      <c r="I39" s="109">
        <f t="shared" si="0"/>
        <v>5900</v>
      </c>
      <c r="J39" s="242"/>
      <c r="K39" s="110">
        <v>7021</v>
      </c>
      <c r="L39" s="245"/>
      <c r="M39" s="111">
        <f t="shared" ref="M39:M40" si="53">IF(I39=0,0,(K39)*G$38)</f>
        <v>7021</v>
      </c>
      <c r="N39" s="112">
        <v>7511.56</v>
      </c>
      <c r="O39" s="125">
        <f t="shared" si="2"/>
        <v>14532.560000000001</v>
      </c>
      <c r="P39" s="248"/>
      <c r="Q39" s="251"/>
      <c r="R39" s="254"/>
      <c r="S39" s="113">
        <f t="shared" si="1"/>
        <v>7021</v>
      </c>
      <c r="T39" s="277"/>
      <c r="U39" s="254"/>
      <c r="V39" s="257"/>
      <c r="W39" s="224"/>
      <c r="X39" s="228"/>
    </row>
    <row r="40" spans="1:24" ht="49.5" customHeight="1" thickBot="1" x14ac:dyDescent="0.35">
      <c r="A40" s="261"/>
      <c r="B40" s="301"/>
      <c r="C40" s="302"/>
      <c r="D40" s="303"/>
      <c r="E40" s="273"/>
      <c r="F40" s="275"/>
      <c r="G40" s="240"/>
      <c r="H40" s="114" t="s">
        <v>543</v>
      </c>
      <c r="I40" s="126">
        <f t="shared" si="0"/>
        <v>10075.63025210084</v>
      </c>
      <c r="J40" s="243"/>
      <c r="K40" s="115">
        <v>11990</v>
      </c>
      <c r="L40" s="246"/>
      <c r="M40" s="132">
        <f t="shared" si="53"/>
        <v>11990</v>
      </c>
      <c r="N40" s="133"/>
      <c r="O40" s="134">
        <f>IF((K40+N40)=0," ",(K40+N40))</f>
        <v>11990</v>
      </c>
      <c r="P40" s="289"/>
      <c r="Q40" s="252"/>
      <c r="R40" s="255"/>
      <c r="S40" s="118">
        <f t="shared" si="1"/>
        <v>11990</v>
      </c>
      <c r="T40" s="278"/>
      <c r="U40" s="255"/>
      <c r="V40" s="258"/>
      <c r="W40" s="225"/>
      <c r="X40" s="320"/>
    </row>
    <row r="41" spans="1:24" ht="49.5" customHeight="1" x14ac:dyDescent="0.3">
      <c r="A41" s="259">
        <v>13</v>
      </c>
      <c r="B41" s="298">
        <v>43202215</v>
      </c>
      <c r="C41" s="299" t="s">
        <v>1774</v>
      </c>
      <c r="D41" s="300" t="s">
        <v>1775</v>
      </c>
      <c r="E41" s="271"/>
      <c r="F41" s="274" t="s">
        <v>570</v>
      </c>
      <c r="G41" s="238">
        <v>1</v>
      </c>
      <c r="H41" s="101" t="s">
        <v>309</v>
      </c>
      <c r="I41" s="102">
        <f t="shared" si="0"/>
        <v>52783.932773109242</v>
      </c>
      <c r="J41" s="241">
        <v>0.19</v>
      </c>
      <c r="K41" s="103">
        <v>62812.88</v>
      </c>
      <c r="L41" s="290">
        <f t="shared" ref="L41" si="54">IFERROR((SUM(K41:K43)/COUNTIF(K41:K43,"&gt;0")),0)</f>
        <v>75020.293333333335</v>
      </c>
      <c r="M41" s="104">
        <f>IF(I41=0,0,(K41)*G$41)</f>
        <v>62812.88</v>
      </c>
      <c r="N41" s="105">
        <v>35602.589999999997</v>
      </c>
      <c r="O41" s="121">
        <f t="shared" si="2"/>
        <v>98415.47</v>
      </c>
      <c r="P41" s="247">
        <f t="shared" ref="P41" si="55">IFERROR((SUM(O41:O43)/COUNTIF(O41:O43,"&gt;0")),0)</f>
        <v>86887.823333333334</v>
      </c>
      <c r="Q41" s="250">
        <f t="shared" ref="Q41" si="56">IFERROR(HARMEAN(O41:O43),"")</f>
        <v>85394.246048771689</v>
      </c>
      <c r="R41" s="253">
        <f t="shared" ref="R41" si="57">IFERROR(MEDIAN(O41:O43),"")</f>
        <v>90258</v>
      </c>
      <c r="S41" s="107">
        <f t="shared" si="1"/>
        <v>62812.88</v>
      </c>
      <c r="T41" s="276">
        <f>IFERROR(SUM(S41:S43)/COUNTA(K41:K43),"")</f>
        <v>75020.293333333335</v>
      </c>
      <c r="U41" s="253">
        <f>IFERROR(_xlfn.STDEV.S(M41:M43),"")</f>
        <v>13971.244082691168</v>
      </c>
      <c r="V41" s="256">
        <f>IFERROR(U41/P41,"")</f>
        <v>0.16079634115234293</v>
      </c>
      <c r="W41" s="223" t="s">
        <v>1754</v>
      </c>
      <c r="X41" s="226" t="s">
        <v>2096</v>
      </c>
    </row>
    <row r="42" spans="1:24" ht="49.5" customHeight="1" x14ac:dyDescent="0.3">
      <c r="A42" s="260"/>
      <c r="B42" s="263"/>
      <c r="C42" s="293"/>
      <c r="D42" s="296"/>
      <c r="E42" s="272"/>
      <c r="F42" s="275"/>
      <c r="G42" s="239"/>
      <c r="H42" s="108" t="s">
        <v>1758</v>
      </c>
      <c r="I42" s="109">
        <f t="shared" si="0"/>
        <v>75847.058823529413</v>
      </c>
      <c r="J42" s="242"/>
      <c r="K42" s="110">
        <v>90258</v>
      </c>
      <c r="L42" s="286"/>
      <c r="M42" s="111">
        <f t="shared" ref="M42:M43" si="58">IF(I42=0,0,(K42)*G$41)</f>
        <v>90258</v>
      </c>
      <c r="N42" s="112"/>
      <c r="O42" s="125">
        <f t="shared" si="2"/>
        <v>90258</v>
      </c>
      <c r="P42" s="248"/>
      <c r="Q42" s="251"/>
      <c r="R42" s="254"/>
      <c r="S42" s="113">
        <f t="shared" si="1"/>
        <v>90258</v>
      </c>
      <c r="T42" s="277"/>
      <c r="U42" s="254"/>
      <c r="V42" s="257"/>
      <c r="W42" s="224"/>
      <c r="X42" s="228"/>
    </row>
    <row r="43" spans="1:24" ht="49.5" customHeight="1" thickBot="1" x14ac:dyDescent="0.35">
      <c r="A43" s="260"/>
      <c r="B43" s="264"/>
      <c r="C43" s="294"/>
      <c r="D43" s="297"/>
      <c r="E43" s="273"/>
      <c r="F43" s="275"/>
      <c r="G43" s="240"/>
      <c r="H43" s="114" t="s">
        <v>543</v>
      </c>
      <c r="I43" s="126">
        <f t="shared" si="0"/>
        <v>60495.798319327732</v>
      </c>
      <c r="J43" s="243"/>
      <c r="K43" s="115">
        <v>71990</v>
      </c>
      <c r="L43" s="291"/>
      <c r="M43" s="116">
        <f t="shared" si="58"/>
        <v>71990</v>
      </c>
      <c r="N43" s="117"/>
      <c r="O43" s="106">
        <f>IF((K43+N43)=0," ",(K43+N43))</f>
        <v>71990</v>
      </c>
      <c r="P43" s="249"/>
      <c r="Q43" s="252"/>
      <c r="R43" s="255"/>
      <c r="S43" s="118">
        <f t="shared" si="1"/>
        <v>71990</v>
      </c>
      <c r="T43" s="278"/>
      <c r="U43" s="255"/>
      <c r="V43" s="258"/>
      <c r="W43" s="225"/>
      <c r="X43" s="320"/>
    </row>
    <row r="44" spans="1:24" ht="49.5" customHeight="1" x14ac:dyDescent="0.3">
      <c r="A44" s="259">
        <v>14</v>
      </c>
      <c r="B44" s="262">
        <v>43202215</v>
      </c>
      <c r="C44" s="292" t="s">
        <v>1776</v>
      </c>
      <c r="D44" s="295" t="s">
        <v>1777</v>
      </c>
      <c r="E44" s="271"/>
      <c r="F44" s="274" t="s">
        <v>570</v>
      </c>
      <c r="G44" s="238">
        <v>1</v>
      </c>
      <c r="H44" s="101" t="s">
        <v>309</v>
      </c>
      <c r="I44" s="102">
        <f t="shared" si="0"/>
        <v>25692.941176470587</v>
      </c>
      <c r="J44" s="241">
        <v>0.19</v>
      </c>
      <c r="K44" s="103">
        <v>30574.6</v>
      </c>
      <c r="L44" s="244">
        <f t="shared" ref="L44" si="59">IFERROR((SUM(K44:K46)/COUNTIF(K44:K46,"&gt;0")),0)</f>
        <v>40870.866666666669</v>
      </c>
      <c r="M44" s="127">
        <f>IF(I44=0,0,(K44)*G$44)</f>
        <v>30574.6</v>
      </c>
      <c r="N44" s="128">
        <v>35935.33</v>
      </c>
      <c r="O44" s="129">
        <f t="shared" si="2"/>
        <v>66509.929999999993</v>
      </c>
      <c r="P44" s="288">
        <f t="shared" ref="P44" si="60">IFERROR((SUM(O44:O46)/COUNTIF(O44:O46,"&gt;0")),0)</f>
        <v>52849.31</v>
      </c>
      <c r="Q44" s="250">
        <f t="shared" ref="Q44" si="61">IFERROR(HARMEAN(O44:O46),"")</f>
        <v>51266.803506917327</v>
      </c>
      <c r="R44" s="253">
        <f t="shared" ref="R44" si="62">IFERROR(MEDIAN(O44:O46),"")</f>
        <v>47048</v>
      </c>
      <c r="S44" s="107">
        <f t="shared" si="1"/>
        <v>30574.6</v>
      </c>
      <c r="T44" s="276">
        <f>IFERROR(SUM(S44:S46)/COUNTA(K44:K46),"")</f>
        <v>40870.866666666669</v>
      </c>
      <c r="U44" s="253">
        <f>IFERROR(_xlfn.STDEV.S(M44:M46),"")</f>
        <v>8976.0053171404088</v>
      </c>
      <c r="V44" s="256">
        <f>IFERROR(U44/P44,"")</f>
        <v>0.16984148548278888</v>
      </c>
      <c r="W44" s="223" t="s">
        <v>1754</v>
      </c>
      <c r="X44" s="226" t="s">
        <v>2096</v>
      </c>
    </row>
    <row r="45" spans="1:24" ht="49.5" customHeight="1" x14ac:dyDescent="0.3">
      <c r="A45" s="260"/>
      <c r="B45" s="263"/>
      <c r="C45" s="293"/>
      <c r="D45" s="296"/>
      <c r="E45" s="272"/>
      <c r="F45" s="275"/>
      <c r="G45" s="239"/>
      <c r="H45" s="108" t="s">
        <v>1758</v>
      </c>
      <c r="I45" s="109">
        <f t="shared" si="0"/>
        <v>39536.134453781517</v>
      </c>
      <c r="J45" s="242"/>
      <c r="K45" s="110">
        <v>47048</v>
      </c>
      <c r="L45" s="245"/>
      <c r="M45" s="111">
        <f t="shared" ref="M45:M46" si="63">IF(I45=0,0,(K45)*G$44)</f>
        <v>47048</v>
      </c>
      <c r="N45" s="112"/>
      <c r="O45" s="125">
        <f t="shared" si="2"/>
        <v>47048</v>
      </c>
      <c r="P45" s="248"/>
      <c r="Q45" s="251"/>
      <c r="R45" s="254"/>
      <c r="S45" s="113">
        <f t="shared" si="1"/>
        <v>47048</v>
      </c>
      <c r="T45" s="277"/>
      <c r="U45" s="254"/>
      <c r="V45" s="257"/>
      <c r="W45" s="224"/>
      <c r="X45" s="228"/>
    </row>
    <row r="46" spans="1:24" ht="49.5" customHeight="1" thickBot="1" x14ac:dyDescent="0.35">
      <c r="A46" s="261"/>
      <c r="B46" s="264"/>
      <c r="C46" s="294"/>
      <c r="D46" s="297"/>
      <c r="E46" s="273"/>
      <c r="F46" s="275"/>
      <c r="G46" s="240"/>
      <c r="H46" s="114" t="s">
        <v>543</v>
      </c>
      <c r="I46" s="126">
        <f t="shared" si="0"/>
        <v>37806.722689075636</v>
      </c>
      <c r="J46" s="243"/>
      <c r="K46" s="115">
        <v>44990</v>
      </c>
      <c r="L46" s="246"/>
      <c r="M46" s="132">
        <f t="shared" si="63"/>
        <v>44990</v>
      </c>
      <c r="N46" s="133"/>
      <c r="O46" s="134">
        <f>IF((K46+N46)=0," ",(K46+N46))</f>
        <v>44990</v>
      </c>
      <c r="P46" s="289"/>
      <c r="Q46" s="252"/>
      <c r="R46" s="255"/>
      <c r="S46" s="118">
        <f t="shared" si="1"/>
        <v>44990</v>
      </c>
      <c r="T46" s="278"/>
      <c r="U46" s="255"/>
      <c r="V46" s="258"/>
      <c r="W46" s="225"/>
      <c r="X46" s="320"/>
    </row>
    <row r="47" spans="1:24" ht="49.5" customHeight="1" x14ac:dyDescent="0.3">
      <c r="A47" s="259">
        <v>15</v>
      </c>
      <c r="B47" s="262">
        <v>43201401</v>
      </c>
      <c r="C47" s="292" t="s">
        <v>1778</v>
      </c>
      <c r="D47" s="295" t="s">
        <v>1779</v>
      </c>
      <c r="E47" s="271"/>
      <c r="F47" s="274" t="s">
        <v>570</v>
      </c>
      <c r="G47" s="238">
        <v>1</v>
      </c>
      <c r="H47" s="101" t="s">
        <v>309</v>
      </c>
      <c r="I47" s="102">
        <f t="shared" si="0"/>
        <v>307414.36974789918</v>
      </c>
      <c r="J47" s="241">
        <v>0.19</v>
      </c>
      <c r="K47" s="103">
        <v>365823.1</v>
      </c>
      <c r="L47" s="290">
        <f t="shared" ref="L47" si="64">IFERROR((SUM(K47:K49)/COUNTIF(K47:K49,"&gt;0")),0)</f>
        <v>421286.04333333328</v>
      </c>
      <c r="M47" s="104">
        <f>IF(I47=0,0,(K47)*G$47)</f>
        <v>365823.1</v>
      </c>
      <c r="N47" s="105"/>
      <c r="O47" s="121">
        <f t="shared" si="2"/>
        <v>365823.1</v>
      </c>
      <c r="P47" s="247">
        <f t="shared" ref="P47" si="65">IFERROR((SUM(O47:O49)/COUNTIF(O47:O49,"&gt;0")),0)</f>
        <v>421286.04333333328</v>
      </c>
      <c r="Q47" s="250">
        <f t="shared" ref="Q47" si="66">IFERROR(HARMEAN(O47:O49),"")</f>
        <v>351472.62315406336</v>
      </c>
      <c r="R47" s="253">
        <f t="shared" ref="R47" si="67">IFERROR(MEDIAN(O47:O49),"")</f>
        <v>365823.1</v>
      </c>
      <c r="S47" s="107">
        <f t="shared" si="1"/>
        <v>365823.1</v>
      </c>
      <c r="T47" s="276">
        <f>IFERROR(SUM(S47:S49)/COUNTA(K47:K49),"")</f>
        <v>421286.04333333328</v>
      </c>
      <c r="U47" s="253">
        <f>IFERROR(_xlfn.STDEV.S(M47:M49),"")</f>
        <v>221680.72957540251</v>
      </c>
      <c r="V47" s="256">
        <f>IFERROR(U47/P47,"")</f>
        <v>0.52620003221897038</v>
      </c>
      <c r="W47" s="223" t="s">
        <v>1754</v>
      </c>
      <c r="X47" s="226" t="s">
        <v>2096</v>
      </c>
    </row>
    <row r="48" spans="1:24" ht="49.5" customHeight="1" x14ac:dyDescent="0.3">
      <c r="A48" s="260"/>
      <c r="B48" s="263"/>
      <c r="C48" s="293"/>
      <c r="D48" s="296"/>
      <c r="E48" s="272"/>
      <c r="F48" s="275"/>
      <c r="G48" s="239"/>
      <c r="H48" s="108" t="s">
        <v>1758</v>
      </c>
      <c r="I48" s="109">
        <f t="shared" si="0"/>
        <v>559186.57983193279</v>
      </c>
      <c r="J48" s="242"/>
      <c r="K48" s="110">
        <v>665432.03</v>
      </c>
      <c r="L48" s="286"/>
      <c r="M48" s="111">
        <f t="shared" ref="M48:M49" si="68">IF(I48=0,0,(K48)*G$47)</f>
        <v>665432.03</v>
      </c>
      <c r="N48" s="112"/>
      <c r="O48" s="125">
        <f t="shared" si="2"/>
        <v>665432.03</v>
      </c>
      <c r="P48" s="248"/>
      <c r="Q48" s="251"/>
      <c r="R48" s="254"/>
      <c r="S48" s="113">
        <f t="shared" si="1"/>
        <v>665432.03</v>
      </c>
      <c r="T48" s="277"/>
      <c r="U48" s="254"/>
      <c r="V48" s="257"/>
      <c r="W48" s="224"/>
      <c r="X48" s="228"/>
    </row>
    <row r="49" spans="1:24" ht="49.5" customHeight="1" thickBot="1" x14ac:dyDescent="0.35">
      <c r="A49" s="261"/>
      <c r="B49" s="264"/>
      <c r="C49" s="294"/>
      <c r="D49" s="297"/>
      <c r="E49" s="273"/>
      <c r="F49" s="275"/>
      <c r="G49" s="240"/>
      <c r="H49" s="114" t="s">
        <v>543</v>
      </c>
      <c r="I49" s="126">
        <f t="shared" si="0"/>
        <v>195464.70588235295</v>
      </c>
      <c r="J49" s="243"/>
      <c r="K49" s="115">
        <v>232603</v>
      </c>
      <c r="L49" s="291"/>
      <c r="M49" s="116">
        <f t="shared" si="68"/>
        <v>232603</v>
      </c>
      <c r="N49" s="117"/>
      <c r="O49" s="106">
        <f>IF((K49+N49)=0," ",(K49+N49))</f>
        <v>232603</v>
      </c>
      <c r="P49" s="249"/>
      <c r="Q49" s="252"/>
      <c r="R49" s="255"/>
      <c r="S49" s="118">
        <f t="shared" si="1"/>
        <v>232603</v>
      </c>
      <c r="T49" s="278"/>
      <c r="U49" s="255"/>
      <c r="V49" s="258"/>
      <c r="W49" s="225"/>
      <c r="X49" s="320"/>
    </row>
    <row r="50" spans="1:24" ht="49.5" customHeight="1" x14ac:dyDescent="0.3">
      <c r="A50" s="259">
        <v>16</v>
      </c>
      <c r="B50" s="262">
        <v>43202222</v>
      </c>
      <c r="C50" s="265" t="s">
        <v>1780</v>
      </c>
      <c r="D50" s="268" t="s">
        <v>1781</v>
      </c>
      <c r="E50" s="272"/>
      <c r="F50" s="274" t="s">
        <v>570</v>
      </c>
      <c r="G50" s="239">
        <v>1</v>
      </c>
      <c r="H50" s="101" t="s">
        <v>309</v>
      </c>
      <c r="I50" s="119">
        <f t="shared" si="0"/>
        <v>77638.050420168074</v>
      </c>
      <c r="J50" s="241">
        <v>0.19</v>
      </c>
      <c r="K50" s="120">
        <v>92389.28</v>
      </c>
      <c r="L50" s="285">
        <f t="shared" ref="L50" si="69">IFERROR((SUM(K50:K52)/COUNTIF(K50:K52,"&gt;0")),0)</f>
        <v>64980.76</v>
      </c>
      <c r="M50" s="127">
        <f>IF(I50=0,0,(K50)*G$50)</f>
        <v>92389.28</v>
      </c>
      <c r="N50" s="128">
        <v>41109.4</v>
      </c>
      <c r="O50" s="129">
        <f t="shared" si="2"/>
        <v>133498.68</v>
      </c>
      <c r="P50" s="288">
        <f t="shared" ref="P50" si="70">IFERROR((SUM(O50:O52)/COUNTIF(O50:O52,"&gt;0")),0)</f>
        <v>78683.893333333326</v>
      </c>
      <c r="Q50" s="250">
        <f t="shared" ref="Q50" si="71">IFERROR(HARMEAN(O50:O52),"")</f>
        <v>62334.920875330521</v>
      </c>
      <c r="R50" s="253">
        <f t="shared" ref="R50" si="72">IFERROR(MEDIAN(O50:O52),"")</f>
        <v>61553</v>
      </c>
      <c r="S50" s="122">
        <f t="shared" si="1"/>
        <v>92389.28</v>
      </c>
      <c r="T50" s="279">
        <f>IFERROR(SUM(S50:S52)/COUNTA(K50:K52),"")</f>
        <v>64980.76</v>
      </c>
      <c r="U50" s="281">
        <f>IFERROR(_xlfn.STDEV.S(M50:M52),"")</f>
        <v>25865.550036540892</v>
      </c>
      <c r="V50" s="283">
        <f>IFERROR(U50/P50,"")</f>
        <v>0.32872737914689987</v>
      </c>
      <c r="W50" s="223" t="s">
        <v>1754</v>
      </c>
      <c r="X50" s="226" t="s">
        <v>2096</v>
      </c>
    </row>
    <row r="51" spans="1:24" ht="49.5" customHeight="1" x14ac:dyDescent="0.3">
      <c r="A51" s="260"/>
      <c r="B51" s="263"/>
      <c r="C51" s="266"/>
      <c r="D51" s="269"/>
      <c r="E51" s="272"/>
      <c r="F51" s="275"/>
      <c r="G51" s="239"/>
      <c r="H51" s="108" t="s">
        <v>1758</v>
      </c>
      <c r="I51" s="109">
        <f t="shared" si="0"/>
        <v>51725.210084033613</v>
      </c>
      <c r="J51" s="242"/>
      <c r="K51" s="110">
        <v>61553</v>
      </c>
      <c r="L51" s="286"/>
      <c r="M51" s="111">
        <f t="shared" ref="M51:M52" si="73">IF(I51=0,0,(K51)*G$50)</f>
        <v>61553</v>
      </c>
      <c r="N51" s="112"/>
      <c r="O51" s="125">
        <f t="shared" si="2"/>
        <v>61553</v>
      </c>
      <c r="P51" s="248"/>
      <c r="Q51" s="251"/>
      <c r="R51" s="254"/>
      <c r="S51" s="113">
        <f t="shared" si="1"/>
        <v>61553</v>
      </c>
      <c r="T51" s="277"/>
      <c r="U51" s="254"/>
      <c r="V51" s="257"/>
      <c r="W51" s="224"/>
      <c r="X51" s="228"/>
    </row>
    <row r="52" spans="1:24" ht="49.5" customHeight="1" thickBot="1" x14ac:dyDescent="0.35">
      <c r="A52" s="261"/>
      <c r="B52" s="264"/>
      <c r="C52" s="267"/>
      <c r="D52" s="270"/>
      <c r="E52" s="272"/>
      <c r="F52" s="275"/>
      <c r="G52" s="239"/>
      <c r="H52" s="114" t="s">
        <v>543</v>
      </c>
      <c r="I52" s="130">
        <f t="shared" si="0"/>
        <v>34453.781512605041</v>
      </c>
      <c r="J52" s="243"/>
      <c r="K52" s="131">
        <v>41000</v>
      </c>
      <c r="L52" s="287"/>
      <c r="M52" s="132">
        <f t="shared" si="73"/>
        <v>41000</v>
      </c>
      <c r="N52" s="133"/>
      <c r="O52" s="134">
        <f>IF((K52+N52)=0," ",(K52+N52))</f>
        <v>41000</v>
      </c>
      <c r="P52" s="289"/>
      <c r="Q52" s="252"/>
      <c r="R52" s="255"/>
      <c r="S52" s="135">
        <f t="shared" si="1"/>
        <v>41000</v>
      </c>
      <c r="T52" s="280"/>
      <c r="U52" s="282"/>
      <c r="V52" s="284"/>
      <c r="W52" s="225"/>
      <c r="X52" s="320"/>
    </row>
    <row r="53" spans="1:24" ht="49.5" customHeight="1" x14ac:dyDescent="0.3">
      <c r="A53" s="259">
        <v>17</v>
      </c>
      <c r="B53" s="262">
        <v>43202222</v>
      </c>
      <c r="C53" s="265" t="s">
        <v>1780</v>
      </c>
      <c r="D53" s="268" t="s">
        <v>1782</v>
      </c>
      <c r="E53" s="271"/>
      <c r="F53" s="274" t="s">
        <v>570</v>
      </c>
      <c r="G53" s="238">
        <v>1</v>
      </c>
      <c r="H53" s="101" t="s">
        <v>309</v>
      </c>
      <c r="I53" s="102">
        <f t="shared" si="0"/>
        <v>133559.81512605041</v>
      </c>
      <c r="J53" s="241">
        <v>0.19</v>
      </c>
      <c r="K53" s="103">
        <v>158936.18</v>
      </c>
      <c r="L53" s="244">
        <f t="shared" ref="L53" si="74">IFERROR((SUM(K53:K55)/COUNTIF(K53:K55,"&gt;0")),0)</f>
        <v>95134.726666666669</v>
      </c>
      <c r="M53" s="104">
        <f>IF(I53=0,0,(K53)*G$56)</f>
        <v>158936.18</v>
      </c>
      <c r="N53" s="105"/>
      <c r="O53" s="121">
        <f t="shared" ref="O53:O54" si="75">M53+N53</f>
        <v>158936.18</v>
      </c>
      <c r="P53" s="247">
        <f t="shared" ref="P53" si="76">IFERROR((SUM(O53:O55)/COUNTIF(O53:O55,"&gt;0")),0)</f>
        <v>95134.726666666669</v>
      </c>
      <c r="Q53" s="250">
        <f t="shared" ref="Q53" si="77">IFERROR(HARMEAN(O53:O55),"")</f>
        <v>75502.92529384332</v>
      </c>
      <c r="R53" s="253">
        <f t="shared" ref="R53" si="78">IFERROR(MEDIAN(O53:O55),"")</f>
        <v>77958</v>
      </c>
      <c r="S53" s="107">
        <f t="shared" si="1"/>
        <v>158936.18</v>
      </c>
      <c r="T53" s="276">
        <f>IFERROR(SUM(S53:S55)/COUNTA(K53:K55),"")</f>
        <v>95134.726666666669</v>
      </c>
      <c r="U53" s="253">
        <f>IFERROR(_xlfn.STDEV.S(M53:M55),"")</f>
        <v>57181.861298703217</v>
      </c>
      <c r="V53" s="256">
        <f>IFERROR(U53/P53,"")</f>
        <v>0.60106191821055199</v>
      </c>
      <c r="W53" s="123"/>
      <c r="X53" s="124"/>
    </row>
    <row r="54" spans="1:24" ht="49.5" customHeight="1" x14ac:dyDescent="0.3">
      <c r="A54" s="260"/>
      <c r="B54" s="263"/>
      <c r="C54" s="266"/>
      <c r="D54" s="269"/>
      <c r="E54" s="272"/>
      <c r="F54" s="275"/>
      <c r="G54" s="239"/>
      <c r="H54" s="108" t="s">
        <v>1758</v>
      </c>
      <c r="I54" s="109">
        <f t="shared" si="0"/>
        <v>65510.924369747903</v>
      </c>
      <c r="J54" s="242"/>
      <c r="K54" s="110">
        <v>77958</v>
      </c>
      <c r="L54" s="245"/>
      <c r="M54" s="111">
        <f t="shared" ref="M54:M55" si="79">IF(I54=0,0,(K54)*G$56)</f>
        <v>77958</v>
      </c>
      <c r="N54" s="112"/>
      <c r="O54" s="125">
        <f t="shared" si="75"/>
        <v>77958</v>
      </c>
      <c r="P54" s="248"/>
      <c r="Q54" s="251"/>
      <c r="R54" s="254"/>
      <c r="S54" s="113">
        <f t="shared" si="1"/>
        <v>77958</v>
      </c>
      <c r="T54" s="277"/>
      <c r="U54" s="254"/>
      <c r="V54" s="257"/>
      <c r="W54" s="123"/>
      <c r="X54" s="124"/>
    </row>
    <row r="55" spans="1:24" ht="49.5" customHeight="1" thickBot="1" x14ac:dyDescent="0.35">
      <c r="A55" s="261"/>
      <c r="B55" s="264"/>
      <c r="C55" s="267"/>
      <c r="D55" s="270"/>
      <c r="E55" s="273"/>
      <c r="F55" s="275"/>
      <c r="G55" s="240"/>
      <c r="H55" s="114" t="s">
        <v>543</v>
      </c>
      <c r="I55" s="126">
        <f t="shared" si="0"/>
        <v>40764.705882352944</v>
      </c>
      <c r="J55" s="243"/>
      <c r="K55" s="115">
        <v>48510</v>
      </c>
      <c r="L55" s="246"/>
      <c r="M55" s="116">
        <f t="shared" si="79"/>
        <v>48510</v>
      </c>
      <c r="N55" s="117"/>
      <c r="O55" s="134">
        <f>IF((K55+N55)=0," ",(K55+N55))</f>
        <v>48510</v>
      </c>
      <c r="P55" s="249"/>
      <c r="Q55" s="252"/>
      <c r="R55" s="255"/>
      <c r="S55" s="118">
        <f t="shared" si="1"/>
        <v>48510</v>
      </c>
      <c r="T55" s="278"/>
      <c r="U55" s="255"/>
      <c r="V55" s="258"/>
      <c r="W55" s="123"/>
      <c r="X55" s="124"/>
    </row>
    <row r="56" spans="1:24" ht="49.5" customHeight="1" x14ac:dyDescent="0.3">
      <c r="A56" s="259">
        <v>18</v>
      </c>
      <c r="B56" s="262">
        <v>432014</v>
      </c>
      <c r="C56" s="265" t="s">
        <v>1783</v>
      </c>
      <c r="D56" s="268" t="s">
        <v>1784</v>
      </c>
      <c r="E56" s="271"/>
      <c r="F56" s="274" t="s">
        <v>570</v>
      </c>
      <c r="G56" s="238">
        <v>1</v>
      </c>
      <c r="H56" s="101" t="s">
        <v>309</v>
      </c>
      <c r="I56" s="102">
        <f t="shared" si="0"/>
        <v>430119.32773109246</v>
      </c>
      <c r="J56" s="241">
        <v>0.19</v>
      </c>
      <c r="K56" s="103">
        <v>511842</v>
      </c>
      <c r="L56" s="244">
        <f t="shared" ref="L56" si="80">IFERROR((SUM(K56:K58)/COUNTIF(K56:K58,"&gt;0")),0)</f>
        <v>589291.33333333337</v>
      </c>
      <c r="M56" s="104">
        <f>IF(I56=0,0,(K56)*G$56)</f>
        <v>511842</v>
      </c>
      <c r="N56" s="105"/>
      <c r="O56" s="121">
        <f t="shared" si="2"/>
        <v>511842</v>
      </c>
      <c r="P56" s="247">
        <f t="shared" ref="P56" si="81">IFERROR((SUM(O56:O58)/COUNTIF(O56:O58,"&gt;0")),0)</f>
        <v>589291.33333333337</v>
      </c>
      <c r="Q56" s="250">
        <f t="shared" ref="Q56" si="82">IFERROR(HARMEAN(O56:O58),"")</f>
        <v>581612.72350840468</v>
      </c>
      <c r="R56" s="253">
        <f t="shared" ref="R56" si="83">IFERROR(MEDIAN(O56:O58),"")</f>
        <v>578760</v>
      </c>
      <c r="S56" s="107">
        <f t="shared" si="1"/>
        <v>511842</v>
      </c>
      <c r="T56" s="276">
        <f>IFERROR(SUM(S56:S58)/COUNTA(K56:K58),"")</f>
        <v>589291.33333333337</v>
      </c>
      <c r="U56" s="253">
        <f>IFERROR(_xlfn.STDEV.S(M56:M58),"")</f>
        <v>83216.302257029616</v>
      </c>
      <c r="V56" s="256">
        <f>IFERROR(U56/P56,"")</f>
        <v>0.14121419669676052</v>
      </c>
      <c r="W56" s="223" t="s">
        <v>1754</v>
      </c>
      <c r="X56" s="226" t="s">
        <v>2096</v>
      </c>
    </row>
    <row r="57" spans="1:24" ht="49.5" customHeight="1" x14ac:dyDescent="0.3">
      <c r="A57" s="260"/>
      <c r="B57" s="263"/>
      <c r="C57" s="266"/>
      <c r="D57" s="269"/>
      <c r="E57" s="272"/>
      <c r="F57" s="275"/>
      <c r="G57" s="239"/>
      <c r="H57" s="108" t="s">
        <v>1758</v>
      </c>
      <c r="I57" s="109">
        <f t="shared" si="0"/>
        <v>486352.9411764706</v>
      </c>
      <c r="J57" s="242"/>
      <c r="K57" s="110">
        <v>578760</v>
      </c>
      <c r="L57" s="245"/>
      <c r="M57" s="111">
        <f t="shared" ref="M57:M58" si="84">IF(I57=0,0,(K57)*G$56)</f>
        <v>578760</v>
      </c>
      <c r="N57" s="112"/>
      <c r="O57" s="125">
        <f t="shared" si="2"/>
        <v>578760</v>
      </c>
      <c r="P57" s="248"/>
      <c r="Q57" s="251"/>
      <c r="R57" s="254"/>
      <c r="S57" s="113">
        <f t="shared" si="1"/>
        <v>578760</v>
      </c>
      <c r="T57" s="277"/>
      <c r="U57" s="254"/>
      <c r="V57" s="257"/>
      <c r="W57" s="224"/>
      <c r="X57" s="227"/>
    </row>
    <row r="58" spans="1:24" ht="49.5" customHeight="1" thickBot="1" x14ac:dyDescent="0.35">
      <c r="A58" s="261"/>
      <c r="B58" s="264"/>
      <c r="C58" s="267"/>
      <c r="D58" s="270"/>
      <c r="E58" s="273"/>
      <c r="F58" s="275"/>
      <c r="G58" s="240"/>
      <c r="H58" s="114" t="s">
        <v>1785</v>
      </c>
      <c r="I58" s="126">
        <f t="shared" si="0"/>
        <v>569136.13445378153</v>
      </c>
      <c r="J58" s="243"/>
      <c r="K58" s="115">
        <v>677272</v>
      </c>
      <c r="L58" s="246"/>
      <c r="M58" s="116">
        <f t="shared" si="84"/>
        <v>677272</v>
      </c>
      <c r="N58" s="117"/>
      <c r="O58" s="134">
        <f>IF((K58+N58)=0," ",(K58+N58))</f>
        <v>677272</v>
      </c>
      <c r="P58" s="249"/>
      <c r="Q58" s="252"/>
      <c r="R58" s="255"/>
      <c r="S58" s="118">
        <f t="shared" si="1"/>
        <v>677272</v>
      </c>
      <c r="T58" s="278"/>
      <c r="U58" s="255"/>
      <c r="V58" s="258"/>
      <c r="W58" s="225"/>
      <c r="X58" s="228"/>
    </row>
    <row r="59" spans="1:24" ht="26.25" customHeight="1" thickBot="1" x14ac:dyDescent="0.35">
      <c r="A59" s="229" t="s">
        <v>1786</v>
      </c>
      <c r="B59" s="230"/>
      <c r="C59" s="230"/>
      <c r="D59" s="230"/>
      <c r="E59" s="230"/>
      <c r="F59" s="231"/>
      <c r="G59" s="136">
        <f>SUM(G5:G58)</f>
        <v>18</v>
      </c>
      <c r="H59" s="232"/>
      <c r="I59" s="233"/>
      <c r="J59" s="234"/>
      <c r="K59" s="137">
        <f>SUM(L5:L58)</f>
        <v>8435803.666666666</v>
      </c>
      <c r="L59" s="137">
        <f>SUM(M5:M58)</f>
        <v>25307411.000000007</v>
      </c>
      <c r="M59" s="138"/>
      <c r="N59" s="139">
        <f>SUM(N5:N58)</f>
        <v>1491893.57</v>
      </c>
      <c r="O59" s="138"/>
      <c r="P59" s="208">
        <f>SUM(P5:P58)</f>
        <v>8933101.5233333334</v>
      </c>
      <c r="Q59" s="140">
        <f>SUM(Q5:Q58)</f>
        <v>8400965.6764862053</v>
      </c>
      <c r="R59" s="140">
        <f>SUM(R5:R58)</f>
        <v>8275627.1899999995</v>
      </c>
      <c r="S59" s="141"/>
      <c r="T59" s="142">
        <f>SUM(T5:T58)</f>
        <v>8435803.666666666</v>
      </c>
      <c r="U59" s="142">
        <f>SUM(U5:U58)</f>
        <v>2788490.5304850643</v>
      </c>
      <c r="V59" s="235"/>
      <c r="W59" s="236"/>
      <c r="X59" s="237"/>
    </row>
    <row r="60" spans="1:24" x14ac:dyDescent="0.3"/>
    <row r="61" spans="1:24" x14ac:dyDescent="0.3"/>
    <row r="62" spans="1:24" x14ac:dyDescent="0.3"/>
    <row r="63" spans="1:24" x14ac:dyDescent="0.3"/>
    <row r="64" spans="1:2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row r="84" x14ac:dyDescent="0.3"/>
    <row r="85" x14ac:dyDescent="0.3"/>
    <row r="86" x14ac:dyDescent="0.3"/>
    <row r="87" x14ac:dyDescent="0.3"/>
    <row r="88" x14ac:dyDescent="0.3"/>
    <row r="89" x14ac:dyDescent="0.3"/>
    <row r="90" x14ac:dyDescent="0.3"/>
    <row r="91" x14ac:dyDescent="0.3"/>
    <row r="92" x14ac:dyDescent="0.3"/>
    <row r="93" x14ac:dyDescent="0.3"/>
    <row r="94" x14ac:dyDescent="0.3"/>
    <row r="95" x14ac:dyDescent="0.3"/>
    <row r="96" x14ac:dyDescent="0.3"/>
    <row r="97" x14ac:dyDescent="0.3"/>
    <row r="98" x14ac:dyDescent="0.3"/>
    <row r="99" x14ac:dyDescent="0.3"/>
    <row r="100" x14ac:dyDescent="0.3"/>
    <row r="101" x14ac:dyDescent="0.3"/>
    <row r="102" x14ac:dyDescent="0.3"/>
    <row r="103" x14ac:dyDescent="0.3"/>
    <row r="104" x14ac:dyDescent="0.3"/>
    <row r="105" x14ac:dyDescent="0.3"/>
    <row r="106" x14ac:dyDescent="0.3"/>
  </sheetData>
  <mergeCells count="334">
    <mergeCell ref="A1:G2"/>
    <mergeCell ref="H1:O2"/>
    <mergeCell ref="P1:X2"/>
    <mergeCell ref="A3:A4"/>
    <mergeCell ref="B3:B4"/>
    <mergeCell ref="C3:C4"/>
    <mergeCell ref="D3:D4"/>
    <mergeCell ref="E3:E4"/>
    <mergeCell ref="F3:F4"/>
    <mergeCell ref="G3:G4"/>
    <mergeCell ref="T3:T4"/>
    <mergeCell ref="U3:U4"/>
    <mergeCell ref="V3:V4"/>
    <mergeCell ref="W3:W4"/>
    <mergeCell ref="X3:X4"/>
    <mergeCell ref="R3:R4"/>
    <mergeCell ref="S3:S4"/>
    <mergeCell ref="A5:A7"/>
    <mergeCell ref="B5:B7"/>
    <mergeCell ref="C5:C7"/>
    <mergeCell ref="D5:D7"/>
    <mergeCell ref="E5:E7"/>
    <mergeCell ref="N3:N4"/>
    <mergeCell ref="O3:O4"/>
    <mergeCell ref="P3:P4"/>
    <mergeCell ref="Q3:Q4"/>
    <mergeCell ref="H3:H4"/>
    <mergeCell ref="I3:I4"/>
    <mergeCell ref="J3:J4"/>
    <mergeCell ref="K3:K4"/>
    <mergeCell ref="L3:L4"/>
    <mergeCell ref="M3:M4"/>
    <mergeCell ref="R5:R7"/>
    <mergeCell ref="T5:T7"/>
    <mergeCell ref="U5:U7"/>
    <mergeCell ref="V5:V7"/>
    <mergeCell ref="W5:W7"/>
    <mergeCell ref="X5:X7"/>
    <mergeCell ref="F5:F7"/>
    <mergeCell ref="G5:G7"/>
    <mergeCell ref="J5:J7"/>
    <mergeCell ref="L5:L7"/>
    <mergeCell ref="P5:P7"/>
    <mergeCell ref="Q5:Q7"/>
    <mergeCell ref="T8:T10"/>
    <mergeCell ref="U8:U10"/>
    <mergeCell ref="V8:V10"/>
    <mergeCell ref="W8:W10"/>
    <mergeCell ref="X8:X10"/>
    <mergeCell ref="A11:A13"/>
    <mergeCell ref="B11:B13"/>
    <mergeCell ref="C11:C13"/>
    <mergeCell ref="D11:D13"/>
    <mergeCell ref="E11:E13"/>
    <mergeCell ref="G8:G10"/>
    <mergeCell ref="J8:J10"/>
    <mergeCell ref="L8:L10"/>
    <mergeCell ref="P8:P10"/>
    <mergeCell ref="Q8:Q10"/>
    <mergeCell ref="R8:R10"/>
    <mergeCell ref="A8:A10"/>
    <mergeCell ref="B8:B10"/>
    <mergeCell ref="C8:C10"/>
    <mergeCell ref="D8:D10"/>
    <mergeCell ref="E8:E10"/>
    <mergeCell ref="F8:F10"/>
    <mergeCell ref="R11:R13"/>
    <mergeCell ref="T11:T13"/>
    <mergeCell ref="U11:U13"/>
    <mergeCell ref="V11:V13"/>
    <mergeCell ref="W11:W13"/>
    <mergeCell ref="X11:X13"/>
    <mergeCell ref="F11:F13"/>
    <mergeCell ref="G11:G13"/>
    <mergeCell ref="J11:J13"/>
    <mergeCell ref="L11:L13"/>
    <mergeCell ref="P11:P13"/>
    <mergeCell ref="Q11:Q13"/>
    <mergeCell ref="T14:T16"/>
    <mergeCell ref="U14:U16"/>
    <mergeCell ref="V14:V16"/>
    <mergeCell ref="W14:W16"/>
    <mergeCell ref="X14:X16"/>
    <mergeCell ref="A17:A19"/>
    <mergeCell ref="B17:B19"/>
    <mergeCell ref="C17:C19"/>
    <mergeCell ref="D17:D19"/>
    <mergeCell ref="E17:E19"/>
    <mergeCell ref="G14:G16"/>
    <mergeCell ref="J14:J16"/>
    <mergeCell ref="L14:L16"/>
    <mergeCell ref="P14:P16"/>
    <mergeCell ref="Q14:Q16"/>
    <mergeCell ref="R14:R16"/>
    <mergeCell ref="A14:A16"/>
    <mergeCell ref="B14:B16"/>
    <mergeCell ref="C14:C16"/>
    <mergeCell ref="D14:D16"/>
    <mergeCell ref="E14:E16"/>
    <mergeCell ref="F14:F16"/>
    <mergeCell ref="R17:R19"/>
    <mergeCell ref="T17:T19"/>
    <mergeCell ref="U17:U19"/>
    <mergeCell ref="V17:V19"/>
    <mergeCell ref="W17:W19"/>
    <mergeCell ref="X17:X19"/>
    <mergeCell ref="F17:F19"/>
    <mergeCell ref="G17:G19"/>
    <mergeCell ref="J17:J19"/>
    <mergeCell ref="L17:L19"/>
    <mergeCell ref="P17:P19"/>
    <mergeCell ref="Q17:Q19"/>
    <mergeCell ref="T20:T22"/>
    <mergeCell ref="U20:U22"/>
    <mergeCell ref="V20:V22"/>
    <mergeCell ref="W20:W22"/>
    <mergeCell ref="X20:X22"/>
    <mergeCell ref="A23:A25"/>
    <mergeCell ref="B23:B25"/>
    <mergeCell ref="C23:C25"/>
    <mergeCell ref="D23:D25"/>
    <mergeCell ref="E23:E25"/>
    <mergeCell ref="G20:G22"/>
    <mergeCell ref="J20:J22"/>
    <mergeCell ref="L20:L22"/>
    <mergeCell ref="P20:P22"/>
    <mergeCell ref="Q20:Q22"/>
    <mergeCell ref="R20:R22"/>
    <mergeCell ref="A20:A22"/>
    <mergeCell ref="B20:B22"/>
    <mergeCell ref="C20:C22"/>
    <mergeCell ref="D20:D22"/>
    <mergeCell ref="E20:E22"/>
    <mergeCell ref="F20:F22"/>
    <mergeCell ref="R23:R25"/>
    <mergeCell ref="T23:T25"/>
    <mergeCell ref="U23:U25"/>
    <mergeCell ref="V23:V25"/>
    <mergeCell ref="W23:W25"/>
    <mergeCell ref="X23:X25"/>
    <mergeCell ref="F23:F25"/>
    <mergeCell ref="G23:G25"/>
    <mergeCell ref="J23:J25"/>
    <mergeCell ref="L23:L25"/>
    <mergeCell ref="P23:P25"/>
    <mergeCell ref="Q23:Q25"/>
    <mergeCell ref="T26:T28"/>
    <mergeCell ref="U26:U28"/>
    <mergeCell ref="V26:V28"/>
    <mergeCell ref="W26:W28"/>
    <mergeCell ref="X26:X28"/>
    <mergeCell ref="A29:A31"/>
    <mergeCell ref="B29:B31"/>
    <mergeCell ref="C29:C31"/>
    <mergeCell ref="D29:D31"/>
    <mergeCell ref="E29:E31"/>
    <mergeCell ref="G26:G28"/>
    <mergeCell ref="J26:J28"/>
    <mergeCell ref="L26:L28"/>
    <mergeCell ref="P26:P28"/>
    <mergeCell ref="Q26:Q28"/>
    <mergeCell ref="R26:R28"/>
    <mergeCell ref="A26:A28"/>
    <mergeCell ref="B26:B28"/>
    <mergeCell ref="C26:C28"/>
    <mergeCell ref="D26:D28"/>
    <mergeCell ref="E26:E28"/>
    <mergeCell ref="F26:F28"/>
    <mergeCell ref="R29:R31"/>
    <mergeCell ref="T29:T31"/>
    <mergeCell ref="U29:U31"/>
    <mergeCell ref="V29:V31"/>
    <mergeCell ref="W29:W31"/>
    <mergeCell ref="X29:X31"/>
    <mergeCell ref="F29:F31"/>
    <mergeCell ref="G29:G31"/>
    <mergeCell ref="J29:J31"/>
    <mergeCell ref="L29:L31"/>
    <mergeCell ref="P29:P31"/>
    <mergeCell ref="Q29:Q31"/>
    <mergeCell ref="T32:T34"/>
    <mergeCell ref="U32:U34"/>
    <mergeCell ref="V32:V34"/>
    <mergeCell ref="W32:W34"/>
    <mergeCell ref="X32:X34"/>
    <mergeCell ref="A35:A37"/>
    <mergeCell ref="B35:B37"/>
    <mergeCell ref="C35:C37"/>
    <mergeCell ref="D35:D37"/>
    <mergeCell ref="E35:E37"/>
    <mergeCell ref="G32:G34"/>
    <mergeCell ref="J32:J34"/>
    <mergeCell ref="L32:L34"/>
    <mergeCell ref="P32:P34"/>
    <mergeCell ref="Q32:Q34"/>
    <mergeCell ref="R32:R34"/>
    <mergeCell ref="A32:A34"/>
    <mergeCell ref="B32:B34"/>
    <mergeCell ref="C32:C34"/>
    <mergeCell ref="D32:D34"/>
    <mergeCell ref="E32:E34"/>
    <mergeCell ref="F32:F34"/>
    <mergeCell ref="R35:R37"/>
    <mergeCell ref="T35:T37"/>
    <mergeCell ref="U35:U37"/>
    <mergeCell ref="V35:V37"/>
    <mergeCell ref="W35:W37"/>
    <mergeCell ref="X35:X37"/>
    <mergeCell ref="F35:F37"/>
    <mergeCell ref="G35:G37"/>
    <mergeCell ref="J35:J37"/>
    <mergeCell ref="L35:L37"/>
    <mergeCell ref="P35:P37"/>
    <mergeCell ref="Q35:Q37"/>
    <mergeCell ref="T38:T40"/>
    <mergeCell ref="U38:U40"/>
    <mergeCell ref="V38:V40"/>
    <mergeCell ref="W38:W40"/>
    <mergeCell ref="X38:X40"/>
    <mergeCell ref="A41:A43"/>
    <mergeCell ref="B41:B43"/>
    <mergeCell ref="C41:C43"/>
    <mergeCell ref="D41:D43"/>
    <mergeCell ref="E41:E43"/>
    <mergeCell ref="G38:G40"/>
    <mergeCell ref="J38:J40"/>
    <mergeCell ref="L38:L40"/>
    <mergeCell ref="P38:P40"/>
    <mergeCell ref="Q38:Q40"/>
    <mergeCell ref="R38:R40"/>
    <mergeCell ref="A38:A40"/>
    <mergeCell ref="B38:B40"/>
    <mergeCell ref="C38:C40"/>
    <mergeCell ref="D38:D40"/>
    <mergeCell ref="E38:E40"/>
    <mergeCell ref="F38:F40"/>
    <mergeCell ref="R41:R43"/>
    <mergeCell ref="T41:T43"/>
    <mergeCell ref="U41:U43"/>
    <mergeCell ref="V41:V43"/>
    <mergeCell ref="W41:W43"/>
    <mergeCell ref="X41:X43"/>
    <mergeCell ref="F41:F43"/>
    <mergeCell ref="G41:G43"/>
    <mergeCell ref="J41:J43"/>
    <mergeCell ref="L41:L43"/>
    <mergeCell ref="P41:P43"/>
    <mergeCell ref="Q41:Q43"/>
    <mergeCell ref="T44:T46"/>
    <mergeCell ref="U44:U46"/>
    <mergeCell ref="V44:V46"/>
    <mergeCell ref="W44:W46"/>
    <mergeCell ref="X44:X46"/>
    <mergeCell ref="A47:A49"/>
    <mergeCell ref="B47:B49"/>
    <mergeCell ref="C47:C49"/>
    <mergeCell ref="D47:D49"/>
    <mergeCell ref="E47:E49"/>
    <mergeCell ref="G44:G46"/>
    <mergeCell ref="J44:J46"/>
    <mergeCell ref="L44:L46"/>
    <mergeCell ref="P44:P46"/>
    <mergeCell ref="Q44:Q46"/>
    <mergeCell ref="R44:R46"/>
    <mergeCell ref="A44:A46"/>
    <mergeCell ref="B44:B46"/>
    <mergeCell ref="C44:C46"/>
    <mergeCell ref="D44:D46"/>
    <mergeCell ref="E44:E46"/>
    <mergeCell ref="F44:F46"/>
    <mergeCell ref="R47:R49"/>
    <mergeCell ref="T47:T49"/>
    <mergeCell ref="U47:U49"/>
    <mergeCell ref="V47:V49"/>
    <mergeCell ref="W47:W49"/>
    <mergeCell ref="X47:X49"/>
    <mergeCell ref="F47:F49"/>
    <mergeCell ref="G47:G49"/>
    <mergeCell ref="J47:J49"/>
    <mergeCell ref="L47:L49"/>
    <mergeCell ref="P47:P49"/>
    <mergeCell ref="Q47:Q49"/>
    <mergeCell ref="T50:T52"/>
    <mergeCell ref="U50:U52"/>
    <mergeCell ref="V50:V52"/>
    <mergeCell ref="W50:W52"/>
    <mergeCell ref="X50:X52"/>
    <mergeCell ref="A53:A55"/>
    <mergeCell ref="B53:B55"/>
    <mergeCell ref="C53:C55"/>
    <mergeCell ref="D53:D55"/>
    <mergeCell ref="E53:E55"/>
    <mergeCell ref="G50:G52"/>
    <mergeCell ref="J50:J52"/>
    <mergeCell ref="L50:L52"/>
    <mergeCell ref="P50:P52"/>
    <mergeCell ref="Q50:Q52"/>
    <mergeCell ref="R50:R52"/>
    <mergeCell ref="A50:A52"/>
    <mergeCell ref="B50:B52"/>
    <mergeCell ref="C50:C52"/>
    <mergeCell ref="D50:D52"/>
    <mergeCell ref="E50:E52"/>
    <mergeCell ref="F50:F52"/>
    <mergeCell ref="R53:R55"/>
    <mergeCell ref="T53:T55"/>
    <mergeCell ref="U53:U55"/>
    <mergeCell ref="V53:V55"/>
    <mergeCell ref="A56:A58"/>
    <mergeCell ref="B56:B58"/>
    <mergeCell ref="C56:C58"/>
    <mergeCell ref="D56:D58"/>
    <mergeCell ref="E56:E58"/>
    <mergeCell ref="F56:F58"/>
    <mergeCell ref="F53:F55"/>
    <mergeCell ref="G53:G55"/>
    <mergeCell ref="J53:J55"/>
    <mergeCell ref="L53:L55"/>
    <mergeCell ref="P53:P55"/>
    <mergeCell ref="Q53:Q55"/>
    <mergeCell ref="T56:T58"/>
    <mergeCell ref="U56:U58"/>
    <mergeCell ref="V56:V58"/>
    <mergeCell ref="W56:W58"/>
    <mergeCell ref="X56:X58"/>
    <mergeCell ref="A59:F59"/>
    <mergeCell ref="H59:J59"/>
    <mergeCell ref="V59:X59"/>
    <mergeCell ref="G56:G58"/>
    <mergeCell ref="J56:J58"/>
    <mergeCell ref="L56:L58"/>
    <mergeCell ref="P56:P58"/>
    <mergeCell ref="Q56:Q58"/>
    <mergeCell ref="R56:R58"/>
  </mergeCells>
  <conditionalFormatting sqref="S5:S58">
    <cfRule type="dataBar" priority="1">
      <dataBar>
        <cfvo type="min"/>
        <cfvo type="max"/>
        <color rgb="FFC2D2E8"/>
      </dataBar>
      <extLst>
        <ext xmlns:x14="http://schemas.microsoft.com/office/spreadsheetml/2009/9/main" uri="{B025F937-C7B1-47D3-B67F-A62EFF666E3E}">
          <x14:id>{E5E356B3-6F98-49E3-A8D9-F24727F66198}</x14:id>
        </ext>
      </extLst>
    </cfRule>
  </conditionalFormatting>
  <pageMargins left="0.7" right="0.7" top="0.75" bottom="0.75" header="0.3" footer="0.3"/>
  <pageSetup paperSize="9" orientation="portrait" horizontalDpi="300" verticalDpi="300" r:id="rId1"/>
  <legacyDrawing r:id="rId2"/>
  <extLst>
    <ext xmlns:x14="http://schemas.microsoft.com/office/spreadsheetml/2009/9/main" uri="{78C0D931-6437-407d-A8EE-F0AAD7539E65}">
      <x14:conditionalFormattings>
        <x14:conditionalFormatting xmlns:xm="http://schemas.microsoft.com/office/excel/2006/main">
          <x14:cfRule type="dataBar" id="{E5E356B3-6F98-49E3-A8D9-F24727F66198}">
            <x14:dataBar minLength="0" maxLength="100" gradient="0">
              <x14:cfvo type="autoMin"/>
              <x14:cfvo type="autoMax"/>
              <x14:negativeFillColor rgb="FFFF0000"/>
              <x14:axisColor rgb="FF000000"/>
            </x14:dataBar>
          </x14:cfRule>
          <xm:sqref>S5:S58</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DEBE1-CDDD-4FB2-A724-3DC5E37DB340}">
  <dimension ref="A1:V123"/>
  <sheetViews>
    <sheetView zoomScale="110" zoomScaleNormal="110" zoomScaleSheetLayoutView="145" workbookViewId="0">
      <pane xSplit="3" ySplit="4" topLeftCell="N5" activePane="bottomRight" state="frozen"/>
      <selection pane="topRight" activeCell="H1" sqref="H1"/>
      <selection pane="bottomLeft" activeCell="H1" sqref="H1"/>
      <selection pane="bottomRight" activeCell="U124" sqref="U124"/>
    </sheetView>
  </sheetViews>
  <sheetFormatPr baseColWidth="10" defaultColWidth="11.44140625" defaultRowHeight="14.4" outlineLevelCol="1" x14ac:dyDescent="0.3"/>
  <cols>
    <col min="1" max="1" width="7.88671875" style="2" customWidth="1"/>
    <col min="2" max="2" width="9" style="2" bestFit="1" customWidth="1"/>
    <col min="3" max="3" width="15.6640625" style="2" customWidth="1"/>
    <col min="4" max="4" width="36.109375" style="2" customWidth="1"/>
    <col min="5" max="5" width="13.44140625" style="2" customWidth="1"/>
    <col min="6" max="6" width="14.6640625" style="2" customWidth="1"/>
    <col min="7" max="7" width="13" style="2" customWidth="1"/>
    <col min="8" max="8" width="20.5546875" style="2" customWidth="1" outlineLevel="1"/>
    <col min="9" max="9" width="14.33203125" style="1" customWidth="1" outlineLevel="1"/>
    <col min="10" max="10" width="11.44140625" style="2" customWidth="1" outlineLevel="1"/>
    <col min="11" max="11" width="12.88671875" style="1" customWidth="1" outlineLevel="1"/>
    <col min="12" max="12" width="14.33203125" style="3" customWidth="1"/>
    <col min="13" max="15" width="15.88671875" style="4" customWidth="1"/>
    <col min="16" max="16" width="17.88671875" style="3" customWidth="1"/>
    <col min="17" max="17" width="22.109375" style="4" customWidth="1"/>
    <col min="18" max="18" width="17.88671875" style="3" customWidth="1"/>
    <col min="19" max="19" width="17" style="2" customWidth="1"/>
    <col min="20" max="21" width="16.88671875" style="2" customWidth="1"/>
    <col min="22" max="22" width="89.5546875" style="2" customWidth="1"/>
    <col min="23" max="16384" width="11.44140625" style="2"/>
  </cols>
  <sheetData>
    <row r="1" spans="1:22" ht="15" customHeight="1" x14ac:dyDescent="0.3">
      <c r="A1" s="811" t="s">
        <v>0</v>
      </c>
      <c r="B1" s="812"/>
      <c r="C1" s="812"/>
      <c r="D1" s="812"/>
      <c r="E1" s="812"/>
      <c r="F1" s="812"/>
      <c r="G1" s="813"/>
      <c r="H1" s="817" t="s">
        <v>1</v>
      </c>
      <c r="I1" s="818"/>
      <c r="J1" s="818"/>
      <c r="K1" s="818"/>
      <c r="L1" s="819"/>
      <c r="M1" s="823" t="s">
        <v>2</v>
      </c>
      <c r="N1" s="824"/>
      <c r="O1" s="824"/>
      <c r="P1" s="824"/>
      <c r="Q1" s="824"/>
      <c r="R1" s="824"/>
      <c r="S1" s="824"/>
      <c r="T1" s="824"/>
      <c r="U1" s="824"/>
      <c r="V1" s="825"/>
    </row>
    <row r="2" spans="1:22" x14ac:dyDescent="0.3">
      <c r="A2" s="814"/>
      <c r="B2" s="815"/>
      <c r="C2" s="815"/>
      <c r="D2" s="815"/>
      <c r="E2" s="815"/>
      <c r="F2" s="815"/>
      <c r="G2" s="816"/>
      <c r="H2" s="820"/>
      <c r="I2" s="821"/>
      <c r="J2" s="821"/>
      <c r="K2" s="821"/>
      <c r="L2" s="822"/>
      <c r="M2" s="826"/>
      <c r="N2" s="827"/>
      <c r="O2" s="827"/>
      <c r="P2" s="827"/>
      <c r="Q2" s="827"/>
      <c r="R2" s="827"/>
      <c r="S2" s="827"/>
      <c r="T2" s="827"/>
      <c r="U2" s="827"/>
      <c r="V2" s="828"/>
    </row>
    <row r="3" spans="1:22" ht="15" customHeight="1" x14ac:dyDescent="0.3">
      <c r="A3" s="829" t="s">
        <v>3</v>
      </c>
      <c r="B3" s="829" t="s">
        <v>4</v>
      </c>
      <c r="C3" s="829" t="s">
        <v>5</v>
      </c>
      <c r="D3" s="829" t="s">
        <v>6</v>
      </c>
      <c r="E3" s="831" t="s">
        <v>7</v>
      </c>
      <c r="F3" s="831" t="s">
        <v>8</v>
      </c>
      <c r="G3" s="829" t="s">
        <v>9</v>
      </c>
      <c r="H3" s="801" t="s">
        <v>10</v>
      </c>
      <c r="I3" s="803" t="s">
        <v>11</v>
      </c>
      <c r="J3" s="805" t="s">
        <v>12</v>
      </c>
      <c r="K3" s="807" t="s">
        <v>13</v>
      </c>
      <c r="L3" s="809" t="s">
        <v>14</v>
      </c>
      <c r="M3" s="799" t="s">
        <v>15</v>
      </c>
      <c r="N3" s="799" t="s">
        <v>16</v>
      </c>
      <c r="O3" s="799" t="s">
        <v>17</v>
      </c>
      <c r="P3" s="837" t="s">
        <v>18</v>
      </c>
      <c r="Q3" s="799" t="s">
        <v>19</v>
      </c>
      <c r="R3" s="839" t="s">
        <v>20</v>
      </c>
      <c r="S3" s="841" t="s">
        <v>21</v>
      </c>
      <c r="T3" s="833" t="s">
        <v>22</v>
      </c>
      <c r="U3" s="835" t="s">
        <v>23</v>
      </c>
      <c r="V3" s="833" t="s">
        <v>652</v>
      </c>
    </row>
    <row r="4" spans="1:22" ht="36.75" customHeight="1" x14ac:dyDescent="0.3">
      <c r="A4" s="876"/>
      <c r="B4" s="876"/>
      <c r="C4" s="876"/>
      <c r="D4" s="876"/>
      <c r="E4" s="877"/>
      <c r="F4" s="877"/>
      <c r="G4" s="876"/>
      <c r="H4" s="871"/>
      <c r="I4" s="872"/>
      <c r="J4" s="873"/>
      <c r="K4" s="874"/>
      <c r="L4" s="875"/>
      <c r="M4" s="870"/>
      <c r="N4" s="870"/>
      <c r="O4" s="870"/>
      <c r="P4" s="880"/>
      <c r="Q4" s="870"/>
      <c r="R4" s="881"/>
      <c r="S4" s="882"/>
      <c r="T4" s="878"/>
      <c r="U4" s="879"/>
      <c r="V4" s="834"/>
    </row>
    <row r="5" spans="1:22" ht="27.9" customHeight="1" x14ac:dyDescent="0.3">
      <c r="A5" s="857">
        <v>1</v>
      </c>
      <c r="B5" s="868">
        <v>31211507</v>
      </c>
      <c r="C5" s="860" t="s">
        <v>1787</v>
      </c>
      <c r="D5" s="449" t="s">
        <v>1788</v>
      </c>
      <c r="E5" s="861" t="s">
        <v>70</v>
      </c>
      <c r="F5" s="861" t="s">
        <v>104</v>
      </c>
      <c r="G5" s="96">
        <v>1</v>
      </c>
      <c r="H5" s="165" t="s">
        <v>1789</v>
      </c>
      <c r="I5" s="8">
        <v>24232.565000000002</v>
      </c>
      <c r="J5" s="166">
        <v>19</v>
      </c>
      <c r="K5" s="98">
        <f t="shared" ref="K5:K36" si="0">(I5*0.19)+I5</f>
        <v>28836.752350000002</v>
      </c>
      <c r="L5" s="16">
        <f t="shared" ref="L5:L36" si="1">IF(I5=0,"",(K5)*$G5)</f>
        <v>28836.752350000002</v>
      </c>
      <c r="M5" s="854">
        <f>IF(L5="","",AVERAGE(L5:L6))</f>
        <v>33854.150420999998</v>
      </c>
      <c r="N5" s="854">
        <f>IFERROR(HARMEAN(L5:L6),"")</f>
        <v>33110.540462108263</v>
      </c>
      <c r="O5" s="854">
        <f>IFERROR(MEDIAN(L5:L6),"")</f>
        <v>33854.150420999998</v>
      </c>
      <c r="P5" s="167">
        <f>IF(L5="","",L5)</f>
        <v>28836.752350000002</v>
      </c>
      <c r="Q5" s="853">
        <v>0</v>
      </c>
      <c r="R5" s="854">
        <f>IFERROR(_xlfn.STDEV.S(P5:P6),"")</f>
        <v>7095.6723998328653</v>
      </c>
      <c r="S5" s="855" t="str">
        <f>IFERROR(R5/Q5,"")</f>
        <v/>
      </c>
      <c r="T5" s="856"/>
      <c r="U5" s="854">
        <f>M5</f>
        <v>33854.150420999998</v>
      </c>
      <c r="V5" s="852" t="s">
        <v>2000</v>
      </c>
    </row>
    <row r="6" spans="1:22" ht="30.6" customHeight="1" x14ac:dyDescent="0.3">
      <c r="A6" s="857"/>
      <c r="B6" s="868"/>
      <c r="C6" s="860"/>
      <c r="D6" s="449"/>
      <c r="E6" s="861"/>
      <c r="F6" s="861"/>
      <c r="G6" s="96">
        <v>1</v>
      </c>
      <c r="H6" s="165" t="s">
        <v>1790</v>
      </c>
      <c r="I6" s="8">
        <v>32665.166799999999</v>
      </c>
      <c r="J6" s="97">
        <v>19</v>
      </c>
      <c r="K6" s="98">
        <f t="shared" si="0"/>
        <v>38871.548492000002</v>
      </c>
      <c r="L6" s="16">
        <f t="shared" si="1"/>
        <v>38871.548492000002</v>
      </c>
      <c r="M6" s="854"/>
      <c r="N6" s="854"/>
      <c r="O6" s="854"/>
      <c r="P6" s="167">
        <f>IF(L6="","",L6)</f>
        <v>38871.548492000002</v>
      </c>
      <c r="Q6" s="853"/>
      <c r="R6" s="854"/>
      <c r="S6" s="855"/>
      <c r="T6" s="856"/>
      <c r="U6" s="854"/>
      <c r="V6" s="852"/>
    </row>
    <row r="7" spans="1:22" ht="27.9" customHeight="1" x14ac:dyDescent="0.3">
      <c r="A7" s="857">
        <f>A5+1</f>
        <v>2</v>
      </c>
      <c r="B7" s="868">
        <v>60121225</v>
      </c>
      <c r="C7" s="860" t="s">
        <v>1791</v>
      </c>
      <c r="D7" s="449" t="s">
        <v>1792</v>
      </c>
      <c r="E7" s="861" t="s">
        <v>79</v>
      </c>
      <c r="F7" s="861" t="s">
        <v>1793</v>
      </c>
      <c r="G7" s="96">
        <v>1</v>
      </c>
      <c r="H7" s="165" t="s">
        <v>1789</v>
      </c>
      <c r="I7" s="8">
        <v>17521.881300000001</v>
      </c>
      <c r="J7" s="97">
        <v>19</v>
      </c>
      <c r="K7" s="98">
        <f t="shared" si="0"/>
        <v>20851.038747000002</v>
      </c>
      <c r="L7" s="16">
        <f t="shared" si="1"/>
        <v>20851.038747000002</v>
      </c>
      <c r="M7" s="854">
        <f>IF(L7="","",AVERAGE(L7:L8))</f>
        <v>22252.524595000003</v>
      </c>
      <c r="N7" s="854">
        <f>IFERROR(HARMEAN(L7:L8),"")</f>
        <v>22164.257640221054</v>
      </c>
      <c r="O7" s="854">
        <f>IFERROR(MEDIAN(L7:L8),"")</f>
        <v>22252.524595000003</v>
      </c>
      <c r="P7" s="167">
        <f t="shared" ref="P7:P70" si="2">IF(L7="","",L7)</f>
        <v>20851.038747000002</v>
      </c>
      <c r="Q7" s="853">
        <v>1</v>
      </c>
      <c r="R7" s="854">
        <f>IFERROR(_xlfn.STDEV.S(L7:L8),"")</f>
        <v>1982.0002937155559</v>
      </c>
      <c r="S7" s="855">
        <f>IFERROR(R7/M7,"")</f>
        <v>8.9068558727080277E-2</v>
      </c>
      <c r="T7" s="856"/>
      <c r="U7" s="854">
        <f>M7</f>
        <v>22252.524595000003</v>
      </c>
      <c r="V7" s="852" t="s">
        <v>2000</v>
      </c>
    </row>
    <row r="8" spans="1:22" ht="27.9" customHeight="1" x14ac:dyDescent="0.3">
      <c r="A8" s="857"/>
      <c r="B8" s="868"/>
      <c r="C8" s="860"/>
      <c r="D8" s="449"/>
      <c r="E8" s="861"/>
      <c r="F8" s="861"/>
      <c r="G8" s="96">
        <v>1</v>
      </c>
      <c r="H8" s="15" t="s">
        <v>1987</v>
      </c>
      <c r="I8" s="8">
        <v>19877.3197</v>
      </c>
      <c r="J8" s="97">
        <v>19</v>
      </c>
      <c r="K8" s="98">
        <f t="shared" si="0"/>
        <v>23654.010442999999</v>
      </c>
      <c r="L8" s="16">
        <f t="shared" si="1"/>
        <v>23654.010442999999</v>
      </c>
      <c r="M8" s="854"/>
      <c r="N8" s="854"/>
      <c r="O8" s="854"/>
      <c r="P8" s="167">
        <f t="shared" si="2"/>
        <v>23654.010442999999</v>
      </c>
      <c r="Q8" s="853"/>
      <c r="R8" s="854"/>
      <c r="S8" s="855"/>
      <c r="T8" s="856"/>
      <c r="U8" s="854"/>
      <c r="V8" s="852"/>
    </row>
    <row r="9" spans="1:22" ht="27.9" customHeight="1" x14ac:dyDescent="0.3">
      <c r="A9" s="857">
        <f>A7+1</f>
        <v>3</v>
      </c>
      <c r="B9" s="858">
        <v>60121225</v>
      </c>
      <c r="C9" s="860" t="s">
        <v>1794</v>
      </c>
      <c r="D9" s="455" t="s">
        <v>1795</v>
      </c>
      <c r="E9" s="861" t="s">
        <v>570</v>
      </c>
      <c r="F9" s="861" t="s">
        <v>79</v>
      </c>
      <c r="G9" s="96">
        <v>1</v>
      </c>
      <c r="H9" s="15" t="s">
        <v>1988</v>
      </c>
      <c r="I9" s="8">
        <v>41561</v>
      </c>
      <c r="J9" s="97">
        <v>19</v>
      </c>
      <c r="K9" s="98">
        <f t="shared" si="0"/>
        <v>49457.59</v>
      </c>
      <c r="L9" s="16">
        <f t="shared" si="1"/>
        <v>49457.59</v>
      </c>
      <c r="M9" s="854">
        <f>IF(L9="","",AVERAGE(L9:L10))</f>
        <v>52149.637749999994</v>
      </c>
      <c r="N9" s="854">
        <f>IFERROR(HARMEAN(L9:L10),"")</f>
        <v>52010.669937356273</v>
      </c>
      <c r="O9" s="854">
        <f>IFERROR(MEDIAN(L9:L10),"")</f>
        <v>52149.637749999994</v>
      </c>
      <c r="P9" s="99">
        <f t="shared" si="2"/>
        <v>49457.59</v>
      </c>
      <c r="Q9" s="853">
        <v>2</v>
      </c>
      <c r="R9" s="854">
        <f>IFERROR(_xlfn.STDEV.S(L9:L10),"")</f>
        <v>3807.1304386059724</v>
      </c>
      <c r="S9" s="855">
        <f>IFERROR(R9/M9,"")</f>
        <v>7.300396710053797E-2</v>
      </c>
      <c r="T9" s="869"/>
      <c r="U9" s="854">
        <f>M9</f>
        <v>52149.637749999994</v>
      </c>
      <c r="V9" s="852" t="s">
        <v>2000</v>
      </c>
    </row>
    <row r="10" spans="1:22" ht="27.9" customHeight="1" x14ac:dyDescent="0.3">
      <c r="A10" s="857"/>
      <c r="B10" s="858"/>
      <c r="C10" s="860"/>
      <c r="D10" s="455"/>
      <c r="E10" s="861"/>
      <c r="F10" s="861"/>
      <c r="G10" s="96">
        <v>1</v>
      </c>
      <c r="H10" s="15" t="s">
        <v>1989</v>
      </c>
      <c r="I10" s="8">
        <v>46085.45</v>
      </c>
      <c r="J10" s="97">
        <v>19</v>
      </c>
      <c r="K10" s="98">
        <f t="shared" si="0"/>
        <v>54841.685499999992</v>
      </c>
      <c r="L10" s="16">
        <f t="shared" si="1"/>
        <v>54841.685499999992</v>
      </c>
      <c r="M10" s="854"/>
      <c r="N10" s="854"/>
      <c r="O10" s="854"/>
      <c r="P10" s="99">
        <f t="shared" si="2"/>
        <v>54841.685499999992</v>
      </c>
      <c r="Q10" s="853"/>
      <c r="R10" s="854"/>
      <c r="S10" s="855"/>
      <c r="T10" s="869"/>
      <c r="U10" s="854"/>
      <c r="V10" s="852"/>
    </row>
    <row r="11" spans="1:22" ht="27.9" customHeight="1" x14ac:dyDescent="0.3">
      <c r="A11" s="857">
        <f>A9+1</f>
        <v>4</v>
      </c>
      <c r="B11" s="858">
        <v>31211904</v>
      </c>
      <c r="C11" s="860" t="s">
        <v>1796</v>
      </c>
      <c r="D11" s="455" t="s">
        <v>1797</v>
      </c>
      <c r="E11" s="861" t="s">
        <v>70</v>
      </c>
      <c r="F11" s="861" t="s">
        <v>104</v>
      </c>
      <c r="G11" s="96">
        <v>1</v>
      </c>
      <c r="H11" s="168" t="s">
        <v>1789</v>
      </c>
      <c r="I11" s="8">
        <v>9038.0023999999994</v>
      </c>
      <c r="J11" s="97">
        <v>19</v>
      </c>
      <c r="K11" s="98">
        <f t="shared" si="0"/>
        <v>10755.222856</v>
      </c>
      <c r="L11" s="16">
        <f t="shared" si="1"/>
        <v>10755.222856</v>
      </c>
      <c r="M11" s="854">
        <f>IF(L11="","",AVERAGE(L11:L12))</f>
        <v>11994.317436500001</v>
      </c>
      <c r="N11" s="854">
        <f>IFERROR(HARMEAN(L11:L12),"")</f>
        <v>11866.310537603678</v>
      </c>
      <c r="O11" s="854">
        <f>IFERROR(MEDIAN(L11:L12),"")</f>
        <v>11994.317436500001</v>
      </c>
      <c r="P11" s="99">
        <f t="shared" si="2"/>
        <v>10755.222856</v>
      </c>
      <c r="Q11" s="853">
        <f>IFERROR(SUM(P11:P12)/COUNTA(P11:P12),"")</f>
        <v>11994.317436500001</v>
      </c>
      <c r="R11" s="854">
        <f>IFERROR(_xlfn.STDEV.S(L11:L12),"")</f>
        <v>1752.3443608060904</v>
      </c>
      <c r="S11" s="855">
        <f>IFERROR(R11/M11,"")</f>
        <v>0.14609788094097939</v>
      </c>
      <c r="T11" s="869"/>
      <c r="U11" s="854">
        <f>M11</f>
        <v>11994.317436500001</v>
      </c>
      <c r="V11" s="852" t="s">
        <v>2000</v>
      </c>
    </row>
    <row r="12" spans="1:22" ht="27.9" customHeight="1" x14ac:dyDescent="0.3">
      <c r="A12" s="857"/>
      <c r="B12" s="858"/>
      <c r="C12" s="860"/>
      <c r="D12" s="455"/>
      <c r="E12" s="861"/>
      <c r="F12" s="861"/>
      <c r="G12" s="96">
        <v>1</v>
      </c>
      <c r="H12" s="15" t="s">
        <v>557</v>
      </c>
      <c r="I12" s="8">
        <v>11120.514300000001</v>
      </c>
      <c r="J12" s="97">
        <v>19</v>
      </c>
      <c r="K12" s="98">
        <f t="shared" si="0"/>
        <v>13233.412017000001</v>
      </c>
      <c r="L12" s="16">
        <f t="shared" si="1"/>
        <v>13233.412017000001</v>
      </c>
      <c r="M12" s="854"/>
      <c r="N12" s="854"/>
      <c r="O12" s="854"/>
      <c r="P12" s="99">
        <f t="shared" si="2"/>
        <v>13233.412017000001</v>
      </c>
      <c r="Q12" s="853"/>
      <c r="R12" s="854"/>
      <c r="S12" s="855"/>
      <c r="T12" s="869"/>
      <c r="U12" s="854"/>
      <c r="V12" s="852"/>
    </row>
    <row r="13" spans="1:22" ht="27.9" customHeight="1" x14ac:dyDescent="0.3">
      <c r="A13" s="857">
        <f>A11+1</f>
        <v>5</v>
      </c>
      <c r="B13" s="858">
        <v>14111500</v>
      </c>
      <c r="C13" s="860" t="s">
        <v>1798</v>
      </c>
      <c r="D13" s="455" t="s">
        <v>1799</v>
      </c>
      <c r="E13" s="861" t="s">
        <v>570</v>
      </c>
      <c r="F13" s="861" t="s">
        <v>26</v>
      </c>
      <c r="G13" s="96">
        <v>1</v>
      </c>
      <c r="H13" s="15" t="s">
        <v>168</v>
      </c>
      <c r="I13" s="8">
        <v>2363</v>
      </c>
      <c r="J13" s="97">
        <v>19</v>
      </c>
      <c r="K13" s="98">
        <f t="shared" si="0"/>
        <v>2811.9700000000003</v>
      </c>
      <c r="L13" s="16">
        <f t="shared" si="1"/>
        <v>2811.9700000000003</v>
      </c>
      <c r="M13" s="854">
        <f>IF(L13="","",AVERAGE(L13:L14))</f>
        <v>2977.7356315000002</v>
      </c>
      <c r="N13" s="854">
        <f>IFERROR(HARMEAN(L13:L14),"")</f>
        <v>2968.5077321875442</v>
      </c>
      <c r="O13" s="854">
        <f>IFERROR(MEDIAN(L13:L14),"")</f>
        <v>2977.7356315000002</v>
      </c>
      <c r="P13" s="99">
        <f t="shared" si="2"/>
        <v>2811.9700000000003</v>
      </c>
      <c r="Q13" s="853">
        <f>IFERROR(SUM(P13:P14)/COUNTA(P13:P14),"")</f>
        <v>2977.7356315000002</v>
      </c>
      <c r="R13" s="854">
        <f>IFERROR(_xlfn.STDEV.S(L13:L14),"")</f>
        <v>234.42800424264064</v>
      </c>
      <c r="S13" s="855">
        <f>IFERROR(R13/M13,"")</f>
        <v>7.8726936589918237E-2</v>
      </c>
      <c r="T13" s="869"/>
      <c r="U13" s="854">
        <f>M13</f>
        <v>2977.7356315000002</v>
      </c>
      <c r="V13" s="852" t="s">
        <v>2000</v>
      </c>
    </row>
    <row r="14" spans="1:22" ht="27.9" customHeight="1" x14ac:dyDescent="0.3">
      <c r="A14" s="857"/>
      <c r="B14" s="858"/>
      <c r="C14" s="860"/>
      <c r="D14" s="455"/>
      <c r="E14" s="861"/>
      <c r="F14" s="861"/>
      <c r="G14" s="96">
        <v>1</v>
      </c>
      <c r="H14" s="15" t="s">
        <v>1800</v>
      </c>
      <c r="I14" s="8">
        <v>2641.5977000000003</v>
      </c>
      <c r="J14" s="97">
        <v>19</v>
      </c>
      <c r="K14" s="98">
        <f t="shared" si="0"/>
        <v>3143.5012630000001</v>
      </c>
      <c r="L14" s="16">
        <f t="shared" si="1"/>
        <v>3143.5012630000001</v>
      </c>
      <c r="M14" s="854"/>
      <c r="N14" s="854"/>
      <c r="O14" s="854"/>
      <c r="P14" s="99">
        <f t="shared" si="2"/>
        <v>3143.5012630000001</v>
      </c>
      <c r="Q14" s="853"/>
      <c r="R14" s="854"/>
      <c r="S14" s="855"/>
      <c r="T14" s="869"/>
      <c r="U14" s="854"/>
      <c r="V14" s="852"/>
    </row>
    <row r="15" spans="1:22" ht="27.9" customHeight="1" x14ac:dyDescent="0.3">
      <c r="A15" s="857">
        <f>A13+1</f>
        <v>6</v>
      </c>
      <c r="B15" s="858">
        <v>31201610</v>
      </c>
      <c r="C15" s="860" t="s">
        <v>1801</v>
      </c>
      <c r="D15" s="455" t="s">
        <v>1802</v>
      </c>
      <c r="E15" s="861" t="s">
        <v>108</v>
      </c>
      <c r="F15" s="861" t="s">
        <v>104</v>
      </c>
      <c r="G15" s="96">
        <v>1</v>
      </c>
      <c r="H15" s="15" t="s">
        <v>1803</v>
      </c>
      <c r="I15" s="8">
        <v>33220.9444</v>
      </c>
      <c r="J15" s="97">
        <v>19</v>
      </c>
      <c r="K15" s="98">
        <f t="shared" si="0"/>
        <v>39532.923836000002</v>
      </c>
      <c r="L15" s="16">
        <f t="shared" si="1"/>
        <v>39532.923836000002</v>
      </c>
      <c r="M15" s="854">
        <f>IF(L15="","",AVERAGE(L15:L16))</f>
        <v>36225.062926500003</v>
      </c>
      <c r="N15" s="854">
        <f>IFERROR(HARMEAN(L15:L16),"")</f>
        <v>35923.008411955772</v>
      </c>
      <c r="O15" s="854">
        <f>IFERROR(MEDIAN(L15:L16),"")</f>
        <v>36225.062926500003</v>
      </c>
      <c r="P15" s="99">
        <f t="shared" si="2"/>
        <v>39532.923836000002</v>
      </c>
      <c r="Q15" s="853">
        <f>IFERROR(SUM(P15:P16)/COUNTA(P15:P16),"")</f>
        <v>36225.062926500003</v>
      </c>
      <c r="R15" s="854">
        <f>IFERROR(_xlfn.STDEV.S(L15:L16),"")</f>
        <v>4678.0217606587057</v>
      </c>
      <c r="S15" s="855">
        <f>IFERROR(R15/M15,"")</f>
        <v>0.12913771247686517</v>
      </c>
      <c r="T15" s="869"/>
      <c r="U15" s="854">
        <f>M15</f>
        <v>36225.062926500003</v>
      </c>
      <c r="V15" s="852" t="s">
        <v>2000</v>
      </c>
    </row>
    <row r="16" spans="1:22" ht="27.9" customHeight="1" x14ac:dyDescent="0.3">
      <c r="A16" s="857"/>
      <c r="B16" s="858"/>
      <c r="C16" s="860"/>
      <c r="D16" s="455"/>
      <c r="E16" s="861"/>
      <c r="F16" s="861"/>
      <c r="G16" s="96">
        <v>1</v>
      </c>
      <c r="H16" s="15" t="s">
        <v>73</v>
      </c>
      <c r="I16" s="8">
        <v>27661.514299999999</v>
      </c>
      <c r="J16" s="97">
        <v>19</v>
      </c>
      <c r="K16" s="98">
        <f t="shared" si="0"/>
        <v>32917.202016999996</v>
      </c>
      <c r="L16" s="16">
        <f t="shared" si="1"/>
        <v>32917.202016999996</v>
      </c>
      <c r="M16" s="854"/>
      <c r="N16" s="854"/>
      <c r="O16" s="854"/>
      <c r="P16" s="99">
        <f t="shared" si="2"/>
        <v>32917.202016999996</v>
      </c>
      <c r="Q16" s="853"/>
      <c r="R16" s="854"/>
      <c r="S16" s="855"/>
      <c r="T16" s="869"/>
      <c r="U16" s="854"/>
      <c r="V16" s="852"/>
    </row>
    <row r="17" spans="1:22" ht="27.9" customHeight="1" x14ac:dyDescent="0.3">
      <c r="A17" s="857">
        <v>7</v>
      </c>
      <c r="B17" s="858">
        <v>60121201</v>
      </c>
      <c r="C17" s="860" t="s">
        <v>1804</v>
      </c>
      <c r="D17" s="455" t="s">
        <v>1805</v>
      </c>
      <c r="E17" s="861" t="s">
        <v>1806</v>
      </c>
      <c r="F17" s="861" t="s">
        <v>79</v>
      </c>
      <c r="G17" s="96">
        <v>1</v>
      </c>
      <c r="H17" s="15" t="s">
        <v>1807</v>
      </c>
      <c r="I17" s="8">
        <v>4447.8748999999998</v>
      </c>
      <c r="J17" s="97">
        <v>19</v>
      </c>
      <c r="K17" s="98">
        <f t="shared" si="0"/>
        <v>5292.9711310000002</v>
      </c>
      <c r="L17" s="16">
        <f t="shared" si="1"/>
        <v>5292.9711310000002</v>
      </c>
      <c r="M17" s="854">
        <f>IF(L17="","",AVERAGE(L17:L18))</f>
        <v>6599.9747870000001</v>
      </c>
      <c r="N17" s="854">
        <f>IFERROR(HARMEAN(L17:L18),"")</f>
        <v>6341.1467441774539</v>
      </c>
      <c r="O17" s="854">
        <f>IFERROR(MEDIAN(L17:L18),"")</f>
        <v>6599.9747870000001</v>
      </c>
      <c r="P17" s="99">
        <f t="shared" si="2"/>
        <v>5292.9711310000002</v>
      </c>
      <c r="Q17" s="853">
        <f>IFERROR(SUM(P17:P18)/COUNTA(P17:P18),"")</f>
        <v>6599.9747870000001</v>
      </c>
      <c r="R17" s="854">
        <f>IFERROR(_xlfn.STDEV.S(L17:L18),"")</f>
        <v>1848.3822963864175</v>
      </c>
      <c r="S17" s="855">
        <f>IFERROR(R17/M17,"")</f>
        <v>0.28005899356270031</v>
      </c>
      <c r="T17" s="856"/>
      <c r="U17" s="854">
        <f>M17</f>
        <v>6599.9747870000001</v>
      </c>
      <c r="V17" s="852" t="s">
        <v>2000</v>
      </c>
    </row>
    <row r="18" spans="1:22" ht="27.9" customHeight="1" x14ac:dyDescent="0.3">
      <c r="A18" s="857"/>
      <c r="B18" s="858"/>
      <c r="C18" s="860"/>
      <c r="D18" s="455"/>
      <c r="E18" s="861"/>
      <c r="F18" s="861"/>
      <c r="G18" s="96">
        <v>1</v>
      </c>
      <c r="H18" s="15" t="s">
        <v>1803</v>
      </c>
      <c r="I18" s="8">
        <v>6644.5196999999998</v>
      </c>
      <c r="J18" s="97">
        <v>19</v>
      </c>
      <c r="K18" s="98">
        <f t="shared" si="0"/>
        <v>7906.978443</v>
      </c>
      <c r="L18" s="16">
        <f t="shared" si="1"/>
        <v>7906.978443</v>
      </c>
      <c r="M18" s="854"/>
      <c r="N18" s="854"/>
      <c r="O18" s="854"/>
      <c r="P18" s="99">
        <f t="shared" si="2"/>
        <v>7906.978443</v>
      </c>
      <c r="Q18" s="853"/>
      <c r="R18" s="854"/>
      <c r="S18" s="855"/>
      <c r="T18" s="856"/>
      <c r="U18" s="854"/>
      <c r="V18" s="852"/>
    </row>
    <row r="19" spans="1:22" ht="27.9" customHeight="1" x14ac:dyDescent="0.3">
      <c r="A19" s="857">
        <f>A17+1</f>
        <v>8</v>
      </c>
      <c r="B19" s="858">
        <v>31211507</v>
      </c>
      <c r="C19" s="860" t="s">
        <v>1808</v>
      </c>
      <c r="D19" s="455" t="s">
        <v>1809</v>
      </c>
      <c r="E19" s="861" t="s">
        <v>70</v>
      </c>
      <c r="F19" s="861" t="s">
        <v>104</v>
      </c>
      <c r="G19" s="96">
        <v>1</v>
      </c>
      <c r="H19" s="15" t="s">
        <v>1810</v>
      </c>
      <c r="I19" s="8">
        <v>16263</v>
      </c>
      <c r="J19" s="97">
        <v>19</v>
      </c>
      <c r="K19" s="98">
        <f t="shared" si="0"/>
        <v>19352.97</v>
      </c>
      <c r="L19" s="16">
        <f t="shared" si="1"/>
        <v>19352.97</v>
      </c>
      <c r="M19" s="854">
        <f>IF(L19="","",AVERAGE(L19:L20))</f>
        <v>20014.411508000001</v>
      </c>
      <c r="N19" s="854">
        <f>IFERROR(HARMEAN(L19:L20),"")</f>
        <v>19992.552015986937</v>
      </c>
      <c r="O19" s="854">
        <f>IFERROR(MEDIAN(L19:L20),"")</f>
        <v>20014.411508000001</v>
      </c>
      <c r="P19" s="99">
        <f t="shared" si="2"/>
        <v>19352.97</v>
      </c>
      <c r="Q19" s="853">
        <f>IFERROR(SUM(P19:P20)/COUNTA(P19:P20),"")</f>
        <v>20014.411508000001</v>
      </c>
      <c r="R19" s="854">
        <f>IFERROR(_xlfn.STDEV.S(L19:L20),"")</f>
        <v>935.41955133011186</v>
      </c>
      <c r="S19" s="855">
        <f>IFERROR(R19/M19,"")</f>
        <v>4.6737299817994321E-2</v>
      </c>
      <c r="T19" s="856"/>
      <c r="U19" s="854">
        <f>M19</f>
        <v>20014.411508000001</v>
      </c>
      <c r="V19" s="852" t="s">
        <v>2000</v>
      </c>
    </row>
    <row r="20" spans="1:22" ht="27.9" customHeight="1" x14ac:dyDescent="0.3">
      <c r="A20" s="857"/>
      <c r="B20" s="858"/>
      <c r="C20" s="860"/>
      <c r="D20" s="455"/>
      <c r="E20" s="861"/>
      <c r="F20" s="861"/>
      <c r="G20" s="96">
        <v>1</v>
      </c>
      <c r="H20" s="15" t="s">
        <v>1803</v>
      </c>
      <c r="I20" s="8">
        <v>17374.666400000002</v>
      </c>
      <c r="J20" s="97">
        <v>19</v>
      </c>
      <c r="K20" s="98">
        <f t="shared" si="0"/>
        <v>20675.853016000001</v>
      </c>
      <c r="L20" s="16">
        <f t="shared" si="1"/>
        <v>20675.853016000001</v>
      </c>
      <c r="M20" s="854"/>
      <c r="N20" s="854"/>
      <c r="O20" s="854"/>
      <c r="P20" s="99">
        <f t="shared" si="2"/>
        <v>20675.853016000001</v>
      </c>
      <c r="Q20" s="853"/>
      <c r="R20" s="854"/>
      <c r="S20" s="855"/>
      <c r="T20" s="856"/>
      <c r="U20" s="854"/>
      <c r="V20" s="852"/>
    </row>
    <row r="21" spans="1:22" ht="27.9" customHeight="1" x14ac:dyDescent="0.3">
      <c r="A21" s="857">
        <f>A19+1</f>
        <v>9</v>
      </c>
      <c r="B21" s="858">
        <v>60124311</v>
      </c>
      <c r="C21" s="860" t="s">
        <v>1990</v>
      </c>
      <c r="D21" s="455" t="s">
        <v>1991</v>
      </c>
      <c r="E21" s="861" t="s">
        <v>570</v>
      </c>
      <c r="F21" s="861" t="s">
        <v>79</v>
      </c>
      <c r="G21" s="96">
        <v>1</v>
      </c>
      <c r="H21" s="15" t="s">
        <v>1803</v>
      </c>
      <c r="I21" s="8">
        <v>38919.318900000006</v>
      </c>
      <c r="J21" s="97">
        <v>19</v>
      </c>
      <c r="K21" s="98">
        <f t="shared" si="0"/>
        <v>46313.989491000008</v>
      </c>
      <c r="L21" s="16">
        <f t="shared" si="1"/>
        <v>46313.989491000008</v>
      </c>
      <c r="M21" s="854">
        <f>IF(L21="","",AVERAGE(L21:L22))</f>
        <v>43585.129745500002</v>
      </c>
      <c r="N21" s="854">
        <f>IFERROR(HARMEAN(L21:L22),"")</f>
        <v>43414.276164150302</v>
      </c>
      <c r="O21" s="854">
        <f>IFERROR(MEDIAN(L21:L22),"")</f>
        <v>43585.129745500002</v>
      </c>
      <c r="P21" s="99">
        <f t="shared" si="2"/>
        <v>46313.989491000008</v>
      </c>
      <c r="Q21" s="853">
        <f>IFERROR(SUM(P21:P22)/COUNTA(P21:P22),"")</f>
        <v>43585.129745500002</v>
      </c>
      <c r="R21" s="854">
        <f>IFERROR(_xlfn.STDEV.S(L21:L22),"")</f>
        <v>3859.1904619000952</v>
      </c>
      <c r="S21" s="855">
        <f>IFERROR(R21/M21,"")</f>
        <v>8.8543741510796858E-2</v>
      </c>
      <c r="T21" s="856"/>
      <c r="U21" s="854">
        <f>M21</f>
        <v>43585.129745500002</v>
      </c>
      <c r="V21" s="852" t="s">
        <v>2000</v>
      </c>
    </row>
    <row r="22" spans="1:22" ht="27.9" customHeight="1" x14ac:dyDescent="0.3">
      <c r="A22" s="857"/>
      <c r="B22" s="858"/>
      <c r="C22" s="860"/>
      <c r="D22" s="455"/>
      <c r="E22" s="861"/>
      <c r="F22" s="861"/>
      <c r="G22" s="96">
        <v>1</v>
      </c>
      <c r="H22" s="15" t="s">
        <v>1803</v>
      </c>
      <c r="I22" s="8">
        <v>34333</v>
      </c>
      <c r="J22" s="97">
        <v>19</v>
      </c>
      <c r="K22" s="98">
        <f t="shared" si="0"/>
        <v>40856.270000000004</v>
      </c>
      <c r="L22" s="16">
        <f t="shared" si="1"/>
        <v>40856.270000000004</v>
      </c>
      <c r="M22" s="854"/>
      <c r="N22" s="854"/>
      <c r="O22" s="854"/>
      <c r="P22" s="99">
        <f t="shared" si="2"/>
        <v>40856.270000000004</v>
      </c>
      <c r="Q22" s="853"/>
      <c r="R22" s="854"/>
      <c r="S22" s="855"/>
      <c r="T22" s="856"/>
      <c r="U22" s="854"/>
      <c r="V22" s="852"/>
    </row>
    <row r="23" spans="1:22" ht="27.9" customHeight="1" x14ac:dyDescent="0.3">
      <c r="A23" s="857">
        <f>A21+1</f>
        <v>10</v>
      </c>
      <c r="B23" s="858">
        <v>60121221</v>
      </c>
      <c r="C23" s="860" t="s">
        <v>1811</v>
      </c>
      <c r="D23" s="455" t="s">
        <v>1812</v>
      </c>
      <c r="E23" s="861" t="s">
        <v>79</v>
      </c>
      <c r="F23" s="861" t="s">
        <v>1813</v>
      </c>
      <c r="G23" s="96">
        <v>1</v>
      </c>
      <c r="H23" s="15" t="s">
        <v>73</v>
      </c>
      <c r="I23" s="8">
        <v>15151.555999999999</v>
      </c>
      <c r="J23" s="97">
        <v>19</v>
      </c>
      <c r="K23" s="98">
        <f t="shared" si="0"/>
        <v>18030.351639999997</v>
      </c>
      <c r="L23" s="16">
        <f t="shared" si="1"/>
        <v>18030.351639999997</v>
      </c>
      <c r="M23" s="854">
        <f>IF(L23="","",AVERAGE(L23:L24))</f>
        <v>18030.351639999997</v>
      </c>
      <c r="N23" s="854">
        <f>IFERROR(HARMEAN(L23:L24),"")</f>
        <v>18030.351639999997</v>
      </c>
      <c r="O23" s="854">
        <f>IFERROR(MEDIAN(L23:L24),"")</f>
        <v>18030.351639999997</v>
      </c>
      <c r="P23" s="99">
        <f t="shared" si="2"/>
        <v>18030.351639999997</v>
      </c>
      <c r="Q23" s="853">
        <f>IFERROR(SUM(P23:P24)/COUNTA(P23:P24),"")</f>
        <v>18030.351639999997</v>
      </c>
      <c r="R23" s="854">
        <f>IFERROR(_xlfn.STDEV.S(L23:L24),"")</f>
        <v>0</v>
      </c>
      <c r="S23" s="855">
        <f>IFERROR(R23/M23,"")</f>
        <v>0</v>
      </c>
      <c r="T23" s="856"/>
      <c r="U23" s="854">
        <f>M23</f>
        <v>18030.351639999997</v>
      </c>
      <c r="V23" s="852" t="s">
        <v>2000</v>
      </c>
    </row>
    <row r="24" spans="1:22" ht="27.9" customHeight="1" x14ac:dyDescent="0.3">
      <c r="A24" s="857"/>
      <c r="B24" s="858"/>
      <c r="C24" s="860"/>
      <c r="D24" s="455"/>
      <c r="E24" s="861"/>
      <c r="F24" s="861"/>
      <c r="G24" s="96">
        <v>1</v>
      </c>
      <c r="H24" s="15" t="s">
        <v>1800</v>
      </c>
      <c r="I24" s="8">
        <v>15151.555999999999</v>
      </c>
      <c r="J24" s="97">
        <v>19</v>
      </c>
      <c r="K24" s="98">
        <f t="shared" si="0"/>
        <v>18030.351639999997</v>
      </c>
      <c r="L24" s="16">
        <f t="shared" si="1"/>
        <v>18030.351639999997</v>
      </c>
      <c r="M24" s="854"/>
      <c r="N24" s="854"/>
      <c r="O24" s="854"/>
      <c r="P24" s="99">
        <f t="shared" si="2"/>
        <v>18030.351639999997</v>
      </c>
      <c r="Q24" s="853"/>
      <c r="R24" s="854"/>
      <c r="S24" s="855"/>
      <c r="T24" s="856"/>
      <c r="U24" s="854"/>
      <c r="V24" s="852"/>
    </row>
    <row r="25" spans="1:22" ht="27.9" customHeight="1" x14ac:dyDescent="0.3">
      <c r="A25" s="857">
        <f>A23+1</f>
        <v>11</v>
      </c>
      <c r="B25" s="868">
        <v>60121211</v>
      </c>
      <c r="C25" s="860" t="s">
        <v>1814</v>
      </c>
      <c r="D25" s="449" t="s">
        <v>1815</v>
      </c>
      <c r="E25" s="861" t="s">
        <v>570</v>
      </c>
      <c r="F25" s="861" t="s">
        <v>570</v>
      </c>
      <c r="G25" s="96">
        <v>1</v>
      </c>
      <c r="H25" s="15" t="s">
        <v>73</v>
      </c>
      <c r="I25" s="8">
        <v>6393.9235499999995</v>
      </c>
      <c r="J25" s="97">
        <v>19</v>
      </c>
      <c r="K25" s="98">
        <f t="shared" si="0"/>
        <v>7608.7690244999994</v>
      </c>
      <c r="L25" s="16">
        <f t="shared" si="1"/>
        <v>7608.7690244999994</v>
      </c>
      <c r="M25" s="854">
        <f>IF(L25="","",AVERAGE(L25:L26))</f>
        <v>6533.5419957499998</v>
      </c>
      <c r="N25" s="854">
        <f>IFERROR(HARMEAN(L25:L26),"")</f>
        <v>6356.5915507836107</v>
      </c>
      <c r="O25" s="854">
        <f>IFERROR(MEDIAN(L25:L26),"")</f>
        <v>6533.5419957499998</v>
      </c>
      <c r="P25" s="99">
        <f t="shared" si="2"/>
        <v>7608.7690244999994</v>
      </c>
      <c r="Q25" s="853">
        <f>IFERROR(SUM(P25:P26)/COUNTA(P25:P26),"")</f>
        <v>6533.5419957499998</v>
      </c>
      <c r="R25" s="854">
        <f>IFERROR(_xlfn.STDEV.S(L25:L26),"")</f>
        <v>1520.6006466883709</v>
      </c>
      <c r="S25" s="855">
        <f>IFERROR(R25/M25,"")</f>
        <v>0.23273756374069465</v>
      </c>
      <c r="T25" s="856"/>
      <c r="U25" s="854">
        <f>M25</f>
        <v>6533.5419957499998</v>
      </c>
      <c r="V25" s="852" t="s">
        <v>2000</v>
      </c>
    </row>
    <row r="26" spans="1:22" ht="27.9" customHeight="1" x14ac:dyDescent="0.3">
      <c r="A26" s="857"/>
      <c r="B26" s="868"/>
      <c r="C26" s="860"/>
      <c r="D26" s="449"/>
      <c r="E26" s="861"/>
      <c r="F26" s="861"/>
      <c r="G26" s="96">
        <v>1</v>
      </c>
      <c r="H26" s="15" t="s">
        <v>1816</v>
      </c>
      <c r="I26" s="8">
        <v>4586.8193000000001</v>
      </c>
      <c r="J26" s="97">
        <v>20</v>
      </c>
      <c r="K26" s="98">
        <f t="shared" si="0"/>
        <v>5458.3149670000003</v>
      </c>
      <c r="L26" s="16">
        <f t="shared" si="1"/>
        <v>5458.3149670000003</v>
      </c>
      <c r="M26" s="854"/>
      <c r="N26" s="854"/>
      <c r="O26" s="854"/>
      <c r="P26" s="99">
        <f t="shared" si="2"/>
        <v>5458.3149670000003</v>
      </c>
      <c r="Q26" s="853"/>
      <c r="R26" s="854"/>
      <c r="S26" s="855"/>
      <c r="T26" s="856"/>
      <c r="U26" s="854"/>
      <c r="V26" s="852"/>
    </row>
    <row r="27" spans="1:22" ht="27.9" customHeight="1" x14ac:dyDescent="0.3">
      <c r="A27" s="857">
        <f>A25+1</f>
        <v>12</v>
      </c>
      <c r="B27" s="858">
        <v>60121213</v>
      </c>
      <c r="C27" s="860" t="s">
        <v>1817</v>
      </c>
      <c r="D27" s="455" t="s">
        <v>1818</v>
      </c>
      <c r="E27" s="861" t="s">
        <v>570</v>
      </c>
      <c r="F27" s="861" t="s">
        <v>570</v>
      </c>
      <c r="G27" s="96">
        <v>1</v>
      </c>
      <c r="H27" s="15" t="s">
        <v>73</v>
      </c>
      <c r="I27" s="8">
        <v>16541</v>
      </c>
      <c r="J27" s="97">
        <v>19</v>
      </c>
      <c r="K27" s="98">
        <f t="shared" si="0"/>
        <v>19683.79</v>
      </c>
      <c r="L27" s="16">
        <f t="shared" si="1"/>
        <v>19683.79</v>
      </c>
      <c r="M27" s="854">
        <f>IF(L27="","",AVERAGE(L27:L28))</f>
        <v>22991.6509095</v>
      </c>
      <c r="N27" s="854">
        <f>IFERROR(HARMEAN(L27:L28),"")</f>
        <v>22515.741465690684</v>
      </c>
      <c r="O27" s="854">
        <f>IFERROR(MEDIAN(L27:L28),"")</f>
        <v>22991.6509095</v>
      </c>
      <c r="P27" s="99">
        <f t="shared" si="2"/>
        <v>19683.79</v>
      </c>
      <c r="Q27" s="853">
        <f>IFERROR(SUM(P27:P28)/COUNTA(P27:P28),"")</f>
        <v>22991.6509095</v>
      </c>
      <c r="R27" s="854">
        <f>IFERROR(_xlfn.STDEV.S(L27:L28),"")</f>
        <v>4678.0217606587203</v>
      </c>
      <c r="S27" s="855">
        <f>IFERROR(R27/M27,"")</f>
        <v>0.20346610946175214</v>
      </c>
      <c r="T27" s="856"/>
      <c r="U27" s="854">
        <f>M27</f>
        <v>22991.6509095</v>
      </c>
      <c r="V27" s="852" t="s">
        <v>2000</v>
      </c>
    </row>
    <row r="28" spans="1:22" ht="27.9" customHeight="1" x14ac:dyDescent="0.3">
      <c r="A28" s="857"/>
      <c r="B28" s="858"/>
      <c r="C28" s="860"/>
      <c r="D28" s="455"/>
      <c r="E28" s="861"/>
      <c r="F28" s="861"/>
      <c r="G28" s="96">
        <v>1</v>
      </c>
      <c r="H28" s="15" t="s">
        <v>1810</v>
      </c>
      <c r="I28" s="8">
        <v>22100.430100000001</v>
      </c>
      <c r="J28" s="97">
        <v>19</v>
      </c>
      <c r="K28" s="98">
        <f t="shared" si="0"/>
        <v>26299.511819000003</v>
      </c>
      <c r="L28" s="16">
        <f t="shared" si="1"/>
        <v>26299.511819000003</v>
      </c>
      <c r="M28" s="854"/>
      <c r="N28" s="854"/>
      <c r="O28" s="854"/>
      <c r="P28" s="99">
        <f t="shared" si="2"/>
        <v>26299.511819000003</v>
      </c>
      <c r="Q28" s="853"/>
      <c r="R28" s="854"/>
      <c r="S28" s="855"/>
      <c r="T28" s="856"/>
      <c r="U28" s="854"/>
      <c r="V28" s="852"/>
    </row>
    <row r="29" spans="1:22" ht="27.9" customHeight="1" x14ac:dyDescent="0.3">
      <c r="A29" s="857">
        <f>A27+1</f>
        <v>13</v>
      </c>
      <c r="B29" s="858">
        <v>40101811</v>
      </c>
      <c r="C29" s="860" t="s">
        <v>1819</v>
      </c>
      <c r="D29" s="455" t="s">
        <v>1820</v>
      </c>
      <c r="E29" s="861" t="s">
        <v>570</v>
      </c>
      <c r="F29" s="861" t="s">
        <v>570</v>
      </c>
      <c r="G29" s="96">
        <v>1</v>
      </c>
      <c r="H29" s="15" t="s">
        <v>73</v>
      </c>
      <c r="I29" s="8">
        <v>118010.93745</v>
      </c>
      <c r="J29" s="97">
        <v>19</v>
      </c>
      <c r="K29" s="98">
        <f t="shared" si="0"/>
        <v>140433.01556550001</v>
      </c>
      <c r="L29" s="16">
        <f t="shared" si="1"/>
        <v>140433.01556550001</v>
      </c>
      <c r="M29" s="854">
        <f>IF(L29="","",AVERAGE(L29:L30))</f>
        <v>136297.94338125002</v>
      </c>
      <c r="N29" s="854">
        <f>IFERROR(HARMEAN(L29:L30),"")</f>
        <v>136172.49158392442</v>
      </c>
      <c r="O29" s="854">
        <f>IFERROR(MEDIAN(L29:L30),"")</f>
        <v>136297.94338125002</v>
      </c>
      <c r="P29" s="99">
        <f t="shared" si="2"/>
        <v>140433.01556550001</v>
      </c>
      <c r="Q29" s="853">
        <f>IFERROR(SUM(P29:P30)/COUNTA(P29:P30),"")</f>
        <v>136297.94338125002</v>
      </c>
      <c r="R29" s="854">
        <f>IFERROR(_xlfn.STDEV.S(L29:L30),"")</f>
        <v>5847.8751643580963</v>
      </c>
      <c r="S29" s="855">
        <f>IFERROR(R29/M29,"")</f>
        <v>4.2905087335034328E-2</v>
      </c>
      <c r="T29" s="856"/>
      <c r="U29" s="854">
        <f>M29</f>
        <v>136297.94338125002</v>
      </c>
      <c r="V29" s="852" t="s">
        <v>2000</v>
      </c>
    </row>
    <row r="30" spans="1:22" ht="27.9" customHeight="1" x14ac:dyDescent="0.3">
      <c r="A30" s="857"/>
      <c r="B30" s="858"/>
      <c r="C30" s="860"/>
      <c r="D30" s="455"/>
      <c r="E30" s="861"/>
      <c r="F30" s="861"/>
      <c r="G30" s="96">
        <v>1</v>
      </c>
      <c r="H30" s="15" t="s">
        <v>1810</v>
      </c>
      <c r="I30" s="8">
        <v>111061.2363</v>
      </c>
      <c r="J30" s="97">
        <v>19</v>
      </c>
      <c r="K30" s="98">
        <f t="shared" si="0"/>
        <v>132162.871197</v>
      </c>
      <c r="L30" s="16">
        <f t="shared" si="1"/>
        <v>132162.871197</v>
      </c>
      <c r="M30" s="854"/>
      <c r="N30" s="854"/>
      <c r="O30" s="854"/>
      <c r="P30" s="99">
        <f t="shared" si="2"/>
        <v>132162.871197</v>
      </c>
      <c r="Q30" s="853"/>
      <c r="R30" s="854"/>
      <c r="S30" s="855"/>
      <c r="T30" s="856"/>
      <c r="U30" s="854"/>
      <c r="V30" s="852"/>
    </row>
    <row r="31" spans="1:22" ht="27.9" customHeight="1" x14ac:dyDescent="0.3">
      <c r="A31" s="857">
        <f>A29+1</f>
        <v>14</v>
      </c>
      <c r="B31" s="858">
        <v>31201503</v>
      </c>
      <c r="C31" s="860" t="s">
        <v>1821</v>
      </c>
      <c r="D31" s="455" t="s">
        <v>1822</v>
      </c>
      <c r="E31" s="861" t="s">
        <v>570</v>
      </c>
      <c r="F31" s="861" t="s">
        <v>570</v>
      </c>
      <c r="G31" s="96">
        <v>1</v>
      </c>
      <c r="H31" s="15" t="s">
        <v>1803</v>
      </c>
      <c r="I31" s="8">
        <v>15713.95</v>
      </c>
      <c r="J31" s="97">
        <v>19</v>
      </c>
      <c r="K31" s="98">
        <f t="shared" si="0"/>
        <v>18699.6005</v>
      </c>
      <c r="L31" s="16">
        <f t="shared" si="1"/>
        <v>18699.6005</v>
      </c>
      <c r="M31" s="854">
        <f>IF(L31="","",AVERAGE(L31:L32))</f>
        <v>20432.266114749997</v>
      </c>
      <c r="N31" s="854">
        <f>IFERROR(HARMEAN(L31:L32),"")</f>
        <v>20285.335269405841</v>
      </c>
      <c r="O31" s="854">
        <f>IFERROR(MEDIAN(L31:L32),"")</f>
        <v>20432.266114749997</v>
      </c>
      <c r="P31" s="99">
        <f t="shared" si="2"/>
        <v>18699.6005</v>
      </c>
      <c r="Q31" s="853">
        <f>IFERROR(SUM(P31:P32)/COUNTA(P31:P32),"")</f>
        <v>20432.266114749997</v>
      </c>
      <c r="R31" s="854">
        <f>IFERROR(_xlfn.STDEV.S(L31:L32),"")</f>
        <v>2450.3592114369635</v>
      </c>
      <c r="S31" s="855">
        <f>IFERROR(R31/M31,"")</f>
        <v>0.11992596404507751</v>
      </c>
      <c r="T31" s="856"/>
      <c r="U31" s="854">
        <f>M31</f>
        <v>20432.266114749997</v>
      </c>
      <c r="V31" s="852" t="s">
        <v>2000</v>
      </c>
    </row>
    <row r="32" spans="1:22" ht="27.9" customHeight="1" x14ac:dyDescent="0.3">
      <c r="A32" s="857"/>
      <c r="B32" s="858"/>
      <c r="C32" s="860"/>
      <c r="D32" s="455"/>
      <c r="E32" s="861"/>
      <c r="F32" s="861"/>
      <c r="G32" s="96">
        <v>1</v>
      </c>
      <c r="H32" s="15" t="s">
        <v>1823</v>
      </c>
      <c r="I32" s="8">
        <v>18625.993049999997</v>
      </c>
      <c r="J32" s="97">
        <v>20</v>
      </c>
      <c r="K32" s="98">
        <f t="shared" si="0"/>
        <v>22164.931729499996</v>
      </c>
      <c r="L32" s="16">
        <f t="shared" si="1"/>
        <v>22164.931729499996</v>
      </c>
      <c r="M32" s="854"/>
      <c r="N32" s="854"/>
      <c r="O32" s="854"/>
      <c r="P32" s="99">
        <f t="shared" si="2"/>
        <v>22164.931729499996</v>
      </c>
      <c r="Q32" s="853"/>
      <c r="R32" s="854"/>
      <c r="S32" s="855"/>
      <c r="T32" s="856"/>
      <c r="U32" s="854"/>
      <c r="V32" s="852"/>
    </row>
    <row r="33" spans="1:22" ht="27.9" customHeight="1" x14ac:dyDescent="0.3">
      <c r="A33" s="857">
        <f>A31+1</f>
        <v>15</v>
      </c>
      <c r="B33" s="858">
        <v>60121223</v>
      </c>
      <c r="C33" s="860" t="s">
        <v>1824</v>
      </c>
      <c r="D33" s="455" t="s">
        <v>1825</v>
      </c>
      <c r="E33" s="861" t="s">
        <v>570</v>
      </c>
      <c r="F33" s="861" t="s">
        <v>570</v>
      </c>
      <c r="G33" s="96">
        <v>1</v>
      </c>
      <c r="H33" s="15" t="s">
        <v>1823</v>
      </c>
      <c r="I33" s="8">
        <v>41561</v>
      </c>
      <c r="J33" s="97">
        <v>19</v>
      </c>
      <c r="K33" s="98">
        <f t="shared" si="0"/>
        <v>49457.59</v>
      </c>
      <c r="L33" s="16">
        <f t="shared" si="1"/>
        <v>49457.59</v>
      </c>
      <c r="M33" s="854">
        <f>IF(L33="","",AVERAGE(L33:L34))</f>
        <v>61863.249024500001</v>
      </c>
      <c r="N33" s="854">
        <f>IFERROR(HARMEAN(L33:L34),"")</f>
        <v>59375.497762499384</v>
      </c>
      <c r="O33" s="854">
        <f>IFERROR(MEDIAN(L33:L34),"")</f>
        <v>61863.249024500001</v>
      </c>
      <c r="P33" s="99">
        <f t="shared" si="2"/>
        <v>49457.59</v>
      </c>
      <c r="Q33" s="853">
        <f>IFERROR(SUM(P33:P34)/COUNTA(P33:P34),"")</f>
        <v>61863.249024500001</v>
      </c>
      <c r="R33" s="854">
        <f>IFERROR(_xlfn.STDEV.S(L33:L34),"")</f>
        <v>17544.251242624097</v>
      </c>
      <c r="S33" s="855">
        <f>IFERROR(R33/M33,"")</f>
        <v>0.2835973137407633</v>
      </c>
      <c r="T33" s="856"/>
      <c r="U33" s="854">
        <f>M33</f>
        <v>61863.249024500001</v>
      </c>
      <c r="V33" s="852" t="s">
        <v>2000</v>
      </c>
    </row>
    <row r="34" spans="1:22" ht="27.9" customHeight="1" x14ac:dyDescent="0.3">
      <c r="A34" s="857"/>
      <c r="B34" s="858"/>
      <c r="C34" s="860"/>
      <c r="D34" s="455"/>
      <c r="E34" s="861"/>
      <c r="F34" s="861"/>
      <c r="G34" s="96">
        <v>1</v>
      </c>
      <c r="H34" s="15" t="s">
        <v>73</v>
      </c>
      <c r="I34" s="8">
        <v>62410.847099999999</v>
      </c>
      <c r="J34" s="97">
        <v>20</v>
      </c>
      <c r="K34" s="98">
        <f t="shared" si="0"/>
        <v>74268.908049000005</v>
      </c>
      <c r="L34" s="16">
        <f t="shared" si="1"/>
        <v>74268.908049000005</v>
      </c>
      <c r="M34" s="854"/>
      <c r="N34" s="854"/>
      <c r="O34" s="854"/>
      <c r="P34" s="99">
        <f t="shared" si="2"/>
        <v>74268.908049000005</v>
      </c>
      <c r="Q34" s="853"/>
      <c r="R34" s="854"/>
      <c r="S34" s="855"/>
      <c r="T34" s="856"/>
      <c r="U34" s="854"/>
      <c r="V34" s="852"/>
    </row>
    <row r="35" spans="1:22" ht="27.9" customHeight="1" x14ac:dyDescent="0.3">
      <c r="A35" s="857">
        <f>A33+1</f>
        <v>16</v>
      </c>
      <c r="B35" s="858">
        <v>47131502</v>
      </c>
      <c r="C35" s="860" t="s">
        <v>1826</v>
      </c>
      <c r="D35" s="455" t="s">
        <v>1827</v>
      </c>
      <c r="E35" s="861" t="s">
        <v>570</v>
      </c>
      <c r="F35" s="861" t="s">
        <v>570</v>
      </c>
      <c r="G35" s="96">
        <v>1</v>
      </c>
      <c r="H35" s="15" t="s">
        <v>1992</v>
      </c>
      <c r="I35" s="8">
        <v>31393.163900000003</v>
      </c>
      <c r="J35" s="97">
        <v>19</v>
      </c>
      <c r="K35" s="98">
        <f t="shared" si="0"/>
        <v>37357.865041000005</v>
      </c>
      <c r="L35" s="16">
        <f t="shared" si="1"/>
        <v>37357.865041000005</v>
      </c>
      <c r="M35" s="854">
        <f>IF(L35="","",AVERAGE(L35:L36))</f>
        <v>39346.9120205</v>
      </c>
      <c r="N35" s="854">
        <f>IFERROR(HARMEAN(L35:L36),"")</f>
        <v>39246.362633432553</v>
      </c>
      <c r="O35" s="854">
        <f>IFERROR(MEDIAN(L35:L36),"")</f>
        <v>39346.9120205</v>
      </c>
      <c r="P35" s="99">
        <f t="shared" si="2"/>
        <v>37357.865041000005</v>
      </c>
      <c r="Q35" s="853">
        <f>IFERROR(SUM(P35:P36)/COUNTA(P35:P36),"")</f>
        <v>39346.9120205</v>
      </c>
      <c r="R35" s="854">
        <f>IFERROR(_xlfn.STDEV.S(L35:L36),"")</f>
        <v>2812.9372146061328</v>
      </c>
      <c r="S35" s="855">
        <f>IFERROR(R35/M35,"")</f>
        <v>7.1490672842142583E-2</v>
      </c>
      <c r="T35" s="856"/>
      <c r="U35" s="854">
        <f>M35</f>
        <v>39346.9120205</v>
      </c>
      <c r="V35" s="852" t="s">
        <v>2000</v>
      </c>
    </row>
    <row r="36" spans="1:22" ht="27.9" customHeight="1" x14ac:dyDescent="0.3">
      <c r="A36" s="857"/>
      <c r="B36" s="858"/>
      <c r="C36" s="860"/>
      <c r="D36" s="455"/>
      <c r="E36" s="861"/>
      <c r="F36" s="861"/>
      <c r="G36" s="96">
        <v>1</v>
      </c>
      <c r="H36" s="15" t="s">
        <v>133</v>
      </c>
      <c r="I36" s="8">
        <v>34736.1</v>
      </c>
      <c r="J36" s="97">
        <v>19</v>
      </c>
      <c r="K36" s="98">
        <f t="shared" si="0"/>
        <v>41335.958999999995</v>
      </c>
      <c r="L36" s="16">
        <f t="shared" si="1"/>
        <v>41335.958999999995</v>
      </c>
      <c r="M36" s="854"/>
      <c r="N36" s="854"/>
      <c r="O36" s="854"/>
      <c r="P36" s="99">
        <f t="shared" si="2"/>
        <v>41335.958999999995</v>
      </c>
      <c r="Q36" s="853"/>
      <c r="R36" s="854"/>
      <c r="S36" s="855"/>
      <c r="T36" s="856"/>
      <c r="U36" s="854"/>
      <c r="V36" s="852"/>
    </row>
    <row r="37" spans="1:22" ht="27.9" customHeight="1" x14ac:dyDescent="0.3">
      <c r="A37" s="857">
        <f>A35+1</f>
        <v>17</v>
      </c>
      <c r="B37" s="858">
        <v>24141510</v>
      </c>
      <c r="C37" s="860" t="s">
        <v>1828</v>
      </c>
      <c r="D37" s="455" t="s">
        <v>1829</v>
      </c>
      <c r="E37" s="861" t="s">
        <v>43</v>
      </c>
      <c r="F37" s="861" t="s">
        <v>43</v>
      </c>
      <c r="G37" s="96">
        <v>1</v>
      </c>
      <c r="H37" s="15" t="s">
        <v>171</v>
      </c>
      <c r="I37" s="8">
        <v>26270.416200000003</v>
      </c>
      <c r="J37" s="97">
        <v>19</v>
      </c>
      <c r="K37" s="98">
        <f t="shared" ref="K37:K68" si="3">(I37*0.19)+I37</f>
        <v>31261.795278000005</v>
      </c>
      <c r="L37" s="16">
        <f t="shared" ref="L37:L68" si="4">IF(I37=0,"",(K37)*$G37)</f>
        <v>31261.795278000005</v>
      </c>
      <c r="M37" s="854">
        <f>IF(L37="","",AVERAGE(L37:L38))</f>
        <v>28036.606286500006</v>
      </c>
      <c r="N37" s="854">
        <f>IFERROR(HARMEAN(L37:L38),"")</f>
        <v>27665.596902389869</v>
      </c>
      <c r="O37" s="854">
        <f>IFERROR(MEDIAN(L37:L38),"")</f>
        <v>28036.606286500006</v>
      </c>
      <c r="P37" s="99">
        <f t="shared" si="2"/>
        <v>31261.795278000005</v>
      </c>
      <c r="Q37" s="853">
        <f>IFERROR(SUM(P37:P38)/COUNTA(P37:P38),"")</f>
        <v>28036.606286500006</v>
      </c>
      <c r="R37" s="854">
        <f>IFERROR(_xlfn.STDEV.S(L37:L38),"")</f>
        <v>4561.1060129956923</v>
      </c>
      <c r="S37" s="855">
        <f>IFERROR(R37/M37,"")</f>
        <v>0.16268395562525428</v>
      </c>
      <c r="T37" s="856"/>
      <c r="U37" s="854">
        <f>M37</f>
        <v>28036.606286500006</v>
      </c>
      <c r="V37" s="852" t="s">
        <v>2000</v>
      </c>
    </row>
    <row r="38" spans="1:22" ht="27.9" customHeight="1" x14ac:dyDescent="0.3">
      <c r="A38" s="857"/>
      <c r="B38" s="858"/>
      <c r="C38" s="860"/>
      <c r="D38" s="455"/>
      <c r="E38" s="861"/>
      <c r="F38" s="861"/>
      <c r="G38" s="96">
        <v>1</v>
      </c>
      <c r="H38" s="15" t="s">
        <v>1993</v>
      </c>
      <c r="I38" s="8">
        <v>20849.930500000002</v>
      </c>
      <c r="J38" s="97">
        <v>19</v>
      </c>
      <c r="K38" s="98">
        <f t="shared" si="3"/>
        <v>24811.417295000003</v>
      </c>
      <c r="L38" s="16">
        <f t="shared" si="4"/>
        <v>24811.417295000003</v>
      </c>
      <c r="M38" s="854"/>
      <c r="N38" s="854"/>
      <c r="O38" s="854"/>
      <c r="P38" s="99">
        <f t="shared" si="2"/>
        <v>24811.417295000003</v>
      </c>
      <c r="Q38" s="853"/>
      <c r="R38" s="854"/>
      <c r="S38" s="855"/>
      <c r="T38" s="856"/>
      <c r="U38" s="854"/>
      <c r="V38" s="852"/>
    </row>
    <row r="39" spans="1:22" ht="27.9" customHeight="1" x14ac:dyDescent="0.3">
      <c r="A39" s="857">
        <f>A37+1</f>
        <v>18</v>
      </c>
      <c r="B39" s="858">
        <v>41111604</v>
      </c>
      <c r="C39" s="860" t="s">
        <v>1830</v>
      </c>
      <c r="D39" s="455" t="s">
        <v>1831</v>
      </c>
      <c r="E39" s="861" t="s">
        <v>1806</v>
      </c>
      <c r="F39" s="861" t="s">
        <v>570</v>
      </c>
      <c r="G39" s="96">
        <v>1</v>
      </c>
      <c r="H39" s="15" t="s">
        <v>73</v>
      </c>
      <c r="I39" s="8">
        <v>38780.374500000005</v>
      </c>
      <c r="J39" s="97">
        <v>19</v>
      </c>
      <c r="K39" s="98">
        <f t="shared" si="3"/>
        <v>46148.645655000008</v>
      </c>
      <c r="L39" s="16">
        <f t="shared" si="4"/>
        <v>46148.645655000008</v>
      </c>
      <c r="M39" s="854">
        <f>IF(L39="","",AVERAGE(L39:L40))</f>
        <v>31584.609434000005</v>
      </c>
      <c r="N39" s="854">
        <f>IFERROR(HARMEAN(L39:L40),"")</f>
        <v>24868.960424952325</v>
      </c>
      <c r="O39" s="854">
        <f>IFERROR(MEDIAN(L39:L40),"")</f>
        <v>31584.609434000005</v>
      </c>
      <c r="P39" s="99">
        <f t="shared" si="2"/>
        <v>46148.645655000008</v>
      </c>
      <c r="Q39" s="853">
        <f>IFERROR(SUM(P39:P40)/COUNTA(P39:P40),"")</f>
        <v>31584.609434000005</v>
      </c>
      <c r="R39" s="854">
        <f>IFERROR(_xlfn.STDEV.S(L39:L40),"")</f>
        <v>20596.657546631195</v>
      </c>
      <c r="S39" s="855">
        <f>IFERROR(R39/M39,"")</f>
        <v>0.6521105663715896</v>
      </c>
      <c r="T39" s="856"/>
      <c r="U39" s="854">
        <f>M39</f>
        <v>31584.609434000005</v>
      </c>
      <c r="V39" s="852" t="s">
        <v>2000</v>
      </c>
    </row>
    <row r="40" spans="1:22" ht="27.9" customHeight="1" x14ac:dyDescent="0.3">
      <c r="A40" s="857"/>
      <c r="B40" s="858"/>
      <c r="C40" s="860"/>
      <c r="D40" s="455"/>
      <c r="E40" s="861"/>
      <c r="F40" s="861"/>
      <c r="G40" s="96">
        <v>1</v>
      </c>
      <c r="H40" s="15" t="s">
        <v>133</v>
      </c>
      <c r="I40" s="8">
        <v>14303.002700000001</v>
      </c>
      <c r="J40" s="97">
        <v>19</v>
      </c>
      <c r="K40" s="98">
        <f t="shared" si="3"/>
        <v>17020.573213</v>
      </c>
      <c r="L40" s="16">
        <f t="shared" si="4"/>
        <v>17020.573213</v>
      </c>
      <c r="M40" s="854"/>
      <c r="N40" s="854"/>
      <c r="O40" s="854"/>
      <c r="P40" s="99">
        <f t="shared" si="2"/>
        <v>17020.573213</v>
      </c>
      <c r="Q40" s="853"/>
      <c r="R40" s="854"/>
      <c r="S40" s="855"/>
      <c r="T40" s="856"/>
      <c r="U40" s="854"/>
      <c r="V40" s="852"/>
    </row>
    <row r="41" spans="1:22" ht="27.9" customHeight="1" x14ac:dyDescent="0.3">
      <c r="A41" s="857">
        <f>A39+1</f>
        <v>19</v>
      </c>
      <c r="B41" s="858">
        <v>14111516</v>
      </c>
      <c r="C41" s="860" t="s">
        <v>1832</v>
      </c>
      <c r="D41" s="455" t="s">
        <v>1833</v>
      </c>
      <c r="E41" s="861" t="s">
        <v>1806</v>
      </c>
      <c r="F41" s="861" t="s">
        <v>570</v>
      </c>
      <c r="G41" s="96">
        <v>1</v>
      </c>
      <c r="H41" s="15" t="s">
        <v>119</v>
      </c>
      <c r="I41" s="8">
        <v>56156.695</v>
      </c>
      <c r="J41" s="97">
        <v>19</v>
      </c>
      <c r="K41" s="98">
        <f t="shared" si="3"/>
        <v>66826.467050000007</v>
      </c>
      <c r="L41" s="16">
        <f t="shared" si="4"/>
        <v>66826.467050000007</v>
      </c>
      <c r="M41" s="854">
        <f>IF(L41="","",AVERAGE(L41:L42))</f>
        <v>53097.023525000004</v>
      </c>
      <c r="N41" s="854">
        <f>IFERROR(HARMEAN(L41:L42),"")</f>
        <v>49546.963521779428</v>
      </c>
      <c r="O41" s="854">
        <f>IFERROR(MEDIAN(L41:L42),"")</f>
        <v>53097.023525000004</v>
      </c>
      <c r="P41" s="99">
        <f t="shared" si="2"/>
        <v>66826.467050000007</v>
      </c>
      <c r="Q41" s="853">
        <f>IFERROR(SUM(P41:P42)/COUNTA(P41:P42),"")</f>
        <v>53097.023525000004</v>
      </c>
      <c r="R41" s="854">
        <f>IFERROR(_xlfn.STDEV.S(L41:L42),"")</f>
        <v>19416.365236890506</v>
      </c>
      <c r="S41" s="855">
        <f>IFERROR(R41/M41,"")</f>
        <v>0.36567709351445243</v>
      </c>
      <c r="T41" s="856"/>
      <c r="U41" s="854">
        <f>M41</f>
        <v>53097.023525000004</v>
      </c>
      <c r="V41" s="852" t="s">
        <v>2000</v>
      </c>
    </row>
    <row r="42" spans="1:22" ht="27.9" customHeight="1" x14ac:dyDescent="0.3">
      <c r="A42" s="857"/>
      <c r="B42" s="858"/>
      <c r="C42" s="860"/>
      <c r="D42" s="455"/>
      <c r="E42" s="861"/>
      <c r="F42" s="861"/>
      <c r="G42" s="96">
        <v>1</v>
      </c>
      <c r="H42" s="15" t="s">
        <v>1994</v>
      </c>
      <c r="I42" s="8">
        <v>33082</v>
      </c>
      <c r="J42" s="97">
        <v>19</v>
      </c>
      <c r="K42" s="98">
        <f t="shared" si="3"/>
        <v>39367.58</v>
      </c>
      <c r="L42" s="16">
        <f t="shared" si="4"/>
        <v>39367.58</v>
      </c>
      <c r="M42" s="854"/>
      <c r="N42" s="854"/>
      <c r="O42" s="854"/>
      <c r="P42" s="99">
        <f t="shared" si="2"/>
        <v>39367.58</v>
      </c>
      <c r="Q42" s="853"/>
      <c r="R42" s="854"/>
      <c r="S42" s="855"/>
      <c r="T42" s="856"/>
      <c r="U42" s="854"/>
      <c r="V42" s="852"/>
    </row>
    <row r="43" spans="1:22" ht="36.75" customHeight="1" x14ac:dyDescent="0.3">
      <c r="A43" s="867">
        <f>A41+1</f>
        <v>20</v>
      </c>
      <c r="B43" s="858">
        <v>44121706</v>
      </c>
      <c r="C43" s="860" t="s">
        <v>1834</v>
      </c>
      <c r="D43" s="455" t="s">
        <v>1835</v>
      </c>
      <c r="E43" s="861" t="s">
        <v>570</v>
      </c>
      <c r="F43" s="861" t="s">
        <v>570</v>
      </c>
      <c r="G43" s="96">
        <v>1</v>
      </c>
      <c r="H43" s="15" t="s">
        <v>1995</v>
      </c>
      <c r="I43" s="8">
        <v>3197.3753000000002</v>
      </c>
      <c r="J43" s="97">
        <v>19</v>
      </c>
      <c r="K43" s="98">
        <f t="shared" si="3"/>
        <v>3804.8766070000001</v>
      </c>
      <c r="L43" s="16">
        <f t="shared" si="4"/>
        <v>3804.8766070000001</v>
      </c>
      <c r="M43" s="854">
        <f>IF(L44="","",AVERAGE(L44:L44))</f>
        <v>936.22059999999999</v>
      </c>
      <c r="N43" s="854">
        <f>IFERROR(HARMEAN(L44:L44),"")</f>
        <v>936.22059999999988</v>
      </c>
      <c r="O43" s="854">
        <f>IFERROR(MEDIAN(L44:L44),"")</f>
        <v>936.22059999999999</v>
      </c>
      <c r="P43" s="99">
        <f t="shared" si="2"/>
        <v>3804.8766070000001</v>
      </c>
      <c r="Q43" s="853">
        <f>IFERROR(SUM(P44:P44)/COUNTA(P44:P44),"")</f>
        <v>936.22059999999999</v>
      </c>
      <c r="R43" s="854" t="str">
        <f>IFERROR(_xlfn.STDEV.S(L44:L44),"")</f>
        <v/>
      </c>
      <c r="S43" s="855" t="str">
        <f>IFERROR(R43/M43,"")</f>
        <v/>
      </c>
      <c r="T43" s="856"/>
      <c r="U43" s="854">
        <f>M43</f>
        <v>936.22059999999999</v>
      </c>
      <c r="V43" s="852" t="s">
        <v>2000</v>
      </c>
    </row>
    <row r="44" spans="1:22" ht="27.9" customHeight="1" x14ac:dyDescent="0.3">
      <c r="A44" s="867"/>
      <c r="B44" s="858"/>
      <c r="C44" s="860"/>
      <c r="D44" s="455"/>
      <c r="E44" s="861"/>
      <c r="F44" s="861"/>
      <c r="G44" s="96">
        <v>1</v>
      </c>
      <c r="H44" s="15" t="s">
        <v>1996</v>
      </c>
      <c r="I44" s="8">
        <v>786.74</v>
      </c>
      <c r="J44" s="97">
        <v>19</v>
      </c>
      <c r="K44" s="98">
        <f t="shared" si="3"/>
        <v>936.22059999999999</v>
      </c>
      <c r="L44" s="16">
        <f t="shared" si="4"/>
        <v>936.22059999999999</v>
      </c>
      <c r="M44" s="854"/>
      <c r="N44" s="854"/>
      <c r="O44" s="854"/>
      <c r="P44" s="99">
        <f t="shared" si="2"/>
        <v>936.22059999999999</v>
      </c>
      <c r="Q44" s="853"/>
      <c r="R44" s="854"/>
      <c r="S44" s="855"/>
      <c r="T44" s="856"/>
      <c r="U44" s="854"/>
      <c r="V44" s="852"/>
    </row>
    <row r="45" spans="1:22" ht="27.9" customHeight="1" x14ac:dyDescent="0.3">
      <c r="A45" s="857">
        <f>A43+1</f>
        <v>21</v>
      </c>
      <c r="B45" s="858">
        <v>31211904</v>
      </c>
      <c r="C45" s="860" t="s">
        <v>1836</v>
      </c>
      <c r="D45" s="455" t="s">
        <v>1837</v>
      </c>
      <c r="E45" s="861" t="s">
        <v>70</v>
      </c>
      <c r="F45" s="861" t="s">
        <v>570</v>
      </c>
      <c r="G45" s="96">
        <v>1</v>
      </c>
      <c r="H45" s="15" t="s">
        <v>1838</v>
      </c>
      <c r="I45" s="8">
        <v>105640</v>
      </c>
      <c r="J45" s="97">
        <v>19</v>
      </c>
      <c r="K45" s="98">
        <f t="shared" si="3"/>
        <v>125711.6</v>
      </c>
      <c r="L45" s="16">
        <f t="shared" si="4"/>
        <v>125711.6</v>
      </c>
      <c r="M45" s="854">
        <f>IF(L46="","",AVERAGE(L46:L46))</f>
        <v>162101.79999999999</v>
      </c>
      <c r="N45" s="854">
        <f>IFERROR(HARMEAN(L46:L46),"")</f>
        <v>162101.79999999999</v>
      </c>
      <c r="O45" s="854">
        <f>IFERROR(MEDIAN(L46:L46),"")</f>
        <v>162101.79999999999</v>
      </c>
      <c r="P45" s="99">
        <f t="shared" si="2"/>
        <v>125711.6</v>
      </c>
      <c r="Q45" s="853">
        <f>IFERROR(SUM(P46:P46)/COUNTA(P46:P46),"")</f>
        <v>162101.79999999999</v>
      </c>
      <c r="R45" s="854" t="str">
        <f>IFERROR(_xlfn.STDEV.S(L46:L46),"")</f>
        <v/>
      </c>
      <c r="S45" s="855" t="str">
        <f>IFERROR(R45/M45,"")</f>
        <v/>
      </c>
      <c r="T45" s="856"/>
      <c r="U45" s="854">
        <f>M45</f>
        <v>162101.79999999999</v>
      </c>
      <c r="V45" s="852" t="s">
        <v>2000</v>
      </c>
    </row>
    <row r="46" spans="1:22" x14ac:dyDescent="0.3">
      <c r="A46" s="857"/>
      <c r="B46" s="858"/>
      <c r="C46" s="860"/>
      <c r="D46" s="455"/>
      <c r="E46" s="861"/>
      <c r="F46" s="861"/>
      <c r="G46" s="96">
        <v>1</v>
      </c>
      <c r="H46" s="15" t="s">
        <v>557</v>
      </c>
      <c r="I46" s="8">
        <v>136220</v>
      </c>
      <c r="J46" s="97">
        <v>19</v>
      </c>
      <c r="K46" s="98">
        <f t="shared" si="3"/>
        <v>162101.79999999999</v>
      </c>
      <c r="L46" s="16">
        <f t="shared" si="4"/>
        <v>162101.79999999999</v>
      </c>
      <c r="M46" s="854"/>
      <c r="N46" s="854"/>
      <c r="O46" s="854"/>
      <c r="P46" s="99">
        <f t="shared" si="2"/>
        <v>162101.79999999999</v>
      </c>
      <c r="Q46" s="853"/>
      <c r="R46" s="854"/>
      <c r="S46" s="855"/>
      <c r="T46" s="856"/>
      <c r="U46" s="854"/>
      <c r="V46" s="852"/>
    </row>
    <row r="47" spans="1:22" ht="14.4" customHeight="1" x14ac:dyDescent="0.3">
      <c r="A47" s="857">
        <f>A45+1</f>
        <v>22</v>
      </c>
      <c r="B47" s="858">
        <v>14111500</v>
      </c>
      <c r="C47" s="860" t="s">
        <v>1839</v>
      </c>
      <c r="D47" s="455" t="s">
        <v>1840</v>
      </c>
      <c r="E47" s="861" t="s">
        <v>570</v>
      </c>
      <c r="F47" s="861" t="s">
        <v>1841</v>
      </c>
      <c r="G47" s="96">
        <v>1</v>
      </c>
      <c r="H47" s="15" t="s">
        <v>482</v>
      </c>
      <c r="I47" s="8">
        <v>1301.04</v>
      </c>
      <c r="J47" s="97">
        <v>19</v>
      </c>
      <c r="K47" s="98">
        <f t="shared" si="3"/>
        <v>1548.2375999999999</v>
      </c>
      <c r="L47" s="16">
        <f t="shared" si="4"/>
        <v>1548.2375999999999</v>
      </c>
      <c r="M47" s="854">
        <f>IF(L48="","",AVERAGE(L48:L49))</f>
        <v>1920.4101000000001</v>
      </c>
      <c r="N47" s="854">
        <f>IFERROR(HARMEAN(L48:L49),"")</f>
        <v>1919.2119104220501</v>
      </c>
      <c r="O47" s="854">
        <f>IFERROR(MEDIAN(L48:L49),"")</f>
        <v>1920.4101000000001</v>
      </c>
      <c r="P47" s="99">
        <f t="shared" si="2"/>
        <v>1548.2375999999999</v>
      </c>
      <c r="Q47" s="853">
        <f>IFERROR(SUM(P48:P49)/COUNTA(P48:P49),"")</f>
        <v>1920.4101000000001</v>
      </c>
      <c r="R47" s="854">
        <f>IFERROR(_xlfn.STDEV.S(L48:L49),"")</f>
        <v>67.83826895211871</v>
      </c>
      <c r="S47" s="855">
        <f>IFERROR(R47/M47,"")</f>
        <v>3.5324886570904157E-2</v>
      </c>
      <c r="T47" s="856"/>
      <c r="U47" s="854">
        <f>M47</f>
        <v>1920.4101000000001</v>
      </c>
      <c r="V47" s="852" t="s">
        <v>2000</v>
      </c>
    </row>
    <row r="48" spans="1:22" x14ac:dyDescent="0.3">
      <c r="A48" s="857"/>
      <c r="B48" s="858"/>
      <c r="C48" s="860"/>
      <c r="D48" s="455"/>
      <c r="E48" s="861"/>
      <c r="F48" s="861"/>
      <c r="G48" s="96">
        <v>1</v>
      </c>
      <c r="H48" s="15" t="s">
        <v>1842</v>
      </c>
      <c r="I48" s="8">
        <v>1654.1</v>
      </c>
      <c r="J48" s="97">
        <v>19</v>
      </c>
      <c r="K48" s="98">
        <f t="shared" si="3"/>
        <v>1968.3789999999999</v>
      </c>
      <c r="L48" s="16">
        <f t="shared" si="4"/>
        <v>1968.3789999999999</v>
      </c>
      <c r="M48" s="854"/>
      <c r="N48" s="854"/>
      <c r="O48" s="854"/>
      <c r="P48" s="99">
        <f t="shared" si="2"/>
        <v>1968.3789999999999</v>
      </c>
      <c r="Q48" s="853"/>
      <c r="R48" s="854"/>
      <c r="S48" s="855"/>
      <c r="T48" s="856"/>
      <c r="U48" s="854"/>
      <c r="V48" s="852"/>
    </row>
    <row r="49" spans="1:22" x14ac:dyDescent="0.3">
      <c r="A49" s="857"/>
      <c r="B49" s="858"/>
      <c r="C49" s="860"/>
      <c r="D49" s="455"/>
      <c r="E49" s="861"/>
      <c r="F49" s="861"/>
      <c r="G49" s="96">
        <v>1</v>
      </c>
      <c r="H49" s="15" t="s">
        <v>1843</v>
      </c>
      <c r="I49" s="8">
        <v>1573.48</v>
      </c>
      <c r="J49" s="97">
        <v>19</v>
      </c>
      <c r="K49" s="98">
        <f t="shared" si="3"/>
        <v>1872.4412</v>
      </c>
      <c r="L49" s="16">
        <f t="shared" si="4"/>
        <v>1872.4412</v>
      </c>
      <c r="M49" s="854"/>
      <c r="N49" s="854"/>
      <c r="O49" s="854"/>
      <c r="P49" s="99">
        <f t="shared" si="2"/>
        <v>1872.4412</v>
      </c>
      <c r="Q49" s="853"/>
      <c r="R49" s="854"/>
      <c r="S49" s="855"/>
      <c r="T49" s="856"/>
      <c r="U49" s="854"/>
      <c r="V49" s="852"/>
    </row>
    <row r="50" spans="1:22" ht="14.4" customHeight="1" x14ac:dyDescent="0.3">
      <c r="A50" s="857">
        <f>A47+1</f>
        <v>23</v>
      </c>
      <c r="B50" s="858">
        <v>31211507</v>
      </c>
      <c r="C50" s="860" t="s">
        <v>1844</v>
      </c>
      <c r="D50" s="455" t="s">
        <v>1845</v>
      </c>
      <c r="E50" s="861" t="s">
        <v>570</v>
      </c>
      <c r="F50" s="861" t="s">
        <v>570</v>
      </c>
      <c r="G50" s="96">
        <v>1</v>
      </c>
      <c r="H50" s="15" t="s">
        <v>1846</v>
      </c>
      <c r="I50" s="8">
        <v>4549.47</v>
      </c>
      <c r="J50" s="97">
        <v>19</v>
      </c>
      <c r="K50" s="98">
        <f t="shared" si="3"/>
        <v>5413.8693000000003</v>
      </c>
      <c r="L50" s="16">
        <f t="shared" si="4"/>
        <v>5413.8693000000003</v>
      </c>
      <c r="M50" s="854">
        <f>IF(L51="","",AVERAGE(L51:L52))</f>
        <v>6120.17</v>
      </c>
      <c r="N50" s="854">
        <f>IFERROR(HARMEAN(L51:L52),"")</f>
        <v>6115.6994594594589</v>
      </c>
      <c r="O50" s="854">
        <f>IFERROR(MEDIAN(L51:L52),"")</f>
        <v>6120.17</v>
      </c>
      <c r="P50" s="99">
        <f t="shared" si="2"/>
        <v>5413.8693000000003</v>
      </c>
      <c r="Q50" s="853">
        <f>IFERROR(SUM(P51:P52)/COUNTA(P51:P52),"")</f>
        <v>6120.17</v>
      </c>
      <c r="R50" s="854">
        <f>IFERROR(_xlfn.STDEV.S(L51:L52),"")</f>
        <v>233.92506535213343</v>
      </c>
      <c r="S50" s="855">
        <f>IFERROR(R50/M50,"")</f>
        <v>3.8221988172245779E-2</v>
      </c>
      <c r="T50" s="856"/>
      <c r="U50" s="854">
        <f>M50</f>
        <v>6120.17</v>
      </c>
      <c r="V50" s="852" t="s">
        <v>2000</v>
      </c>
    </row>
    <row r="51" spans="1:22" x14ac:dyDescent="0.3">
      <c r="A51" s="857"/>
      <c r="B51" s="858"/>
      <c r="C51" s="860"/>
      <c r="D51" s="455"/>
      <c r="E51" s="861"/>
      <c r="F51" s="861"/>
      <c r="G51" s="96">
        <v>1</v>
      </c>
      <c r="H51" s="15" t="s">
        <v>1847</v>
      </c>
      <c r="I51" s="8">
        <v>5282</v>
      </c>
      <c r="J51" s="97">
        <v>19</v>
      </c>
      <c r="K51" s="98">
        <f t="shared" si="3"/>
        <v>6285.58</v>
      </c>
      <c r="L51" s="16">
        <f t="shared" si="4"/>
        <v>6285.58</v>
      </c>
      <c r="M51" s="854"/>
      <c r="N51" s="854"/>
      <c r="O51" s="854"/>
      <c r="P51" s="99">
        <f t="shared" si="2"/>
        <v>6285.58</v>
      </c>
      <c r="Q51" s="853"/>
      <c r="R51" s="854"/>
      <c r="S51" s="855"/>
      <c r="T51" s="856"/>
      <c r="U51" s="854"/>
      <c r="V51" s="852"/>
    </row>
    <row r="52" spans="1:22" x14ac:dyDescent="0.3">
      <c r="A52" s="857"/>
      <c r="B52" s="858"/>
      <c r="C52" s="860"/>
      <c r="D52" s="455"/>
      <c r="E52" s="861"/>
      <c r="F52" s="861"/>
      <c r="G52" s="96">
        <v>1</v>
      </c>
      <c r="H52" s="15" t="s">
        <v>1848</v>
      </c>
      <c r="I52" s="8">
        <v>5004</v>
      </c>
      <c r="J52" s="97">
        <v>19</v>
      </c>
      <c r="K52" s="98">
        <f t="shared" si="3"/>
        <v>5954.76</v>
      </c>
      <c r="L52" s="16">
        <f t="shared" si="4"/>
        <v>5954.76</v>
      </c>
      <c r="M52" s="854"/>
      <c r="N52" s="854"/>
      <c r="O52" s="854"/>
      <c r="P52" s="99">
        <f t="shared" si="2"/>
        <v>5954.76</v>
      </c>
      <c r="Q52" s="853"/>
      <c r="R52" s="854"/>
      <c r="S52" s="855"/>
      <c r="T52" s="856"/>
      <c r="U52" s="854"/>
      <c r="V52" s="852"/>
    </row>
    <row r="53" spans="1:22" ht="14.4" customHeight="1" x14ac:dyDescent="0.3">
      <c r="A53" s="857">
        <f>A50+1</f>
        <v>24</v>
      </c>
      <c r="B53" s="858">
        <v>26101105</v>
      </c>
      <c r="C53" s="860" t="s">
        <v>1849</v>
      </c>
      <c r="D53" s="455" t="s">
        <v>1850</v>
      </c>
      <c r="E53" s="861" t="s">
        <v>570</v>
      </c>
      <c r="F53" s="861" t="s">
        <v>570</v>
      </c>
      <c r="G53" s="96">
        <v>1</v>
      </c>
      <c r="H53" s="15" t="s">
        <v>1851</v>
      </c>
      <c r="I53" s="8">
        <v>7964.7</v>
      </c>
      <c r="J53" s="97">
        <v>19</v>
      </c>
      <c r="K53" s="98">
        <f t="shared" si="3"/>
        <v>9477.9930000000004</v>
      </c>
      <c r="L53" s="16">
        <f t="shared" si="4"/>
        <v>9477.9930000000004</v>
      </c>
      <c r="M53" s="854">
        <f>IF(L54="","",AVERAGE(L54:L55))</f>
        <v>9774.9039499999999</v>
      </c>
      <c r="N53" s="854">
        <f>IFERROR(HARMEAN(L54:L55),"")</f>
        <v>9543.3690667569172</v>
      </c>
      <c r="O53" s="854">
        <f>IFERROR(MEDIAN(L54:L55),"")</f>
        <v>9774.9039499999999</v>
      </c>
      <c r="P53" s="99">
        <f t="shared" si="2"/>
        <v>9477.9930000000004</v>
      </c>
      <c r="Q53" s="853">
        <f>IFERROR(SUM(P54:P55)/COUNTA(P54:P55),"")</f>
        <v>9774.9039499999999</v>
      </c>
      <c r="R53" s="854">
        <f>IFERROR(_xlfn.STDEV.S(L54:L55),"")</f>
        <v>2127.5484693776511</v>
      </c>
      <c r="S53" s="855">
        <f>IFERROR(R53/M53,"")</f>
        <v>0.21765415601630042</v>
      </c>
      <c r="T53" s="856"/>
      <c r="U53" s="854">
        <f>M53</f>
        <v>9774.9039499999999</v>
      </c>
      <c r="V53" s="852" t="s">
        <v>2000</v>
      </c>
    </row>
    <row r="54" spans="1:22" x14ac:dyDescent="0.3">
      <c r="A54" s="857"/>
      <c r="B54" s="858"/>
      <c r="C54" s="860"/>
      <c r="D54" s="455"/>
      <c r="E54" s="861"/>
      <c r="F54" s="861"/>
      <c r="G54" s="96">
        <v>1</v>
      </c>
      <c r="H54" s="15" t="s">
        <v>1852</v>
      </c>
      <c r="I54" s="8">
        <v>9478.41</v>
      </c>
      <c r="J54" s="97">
        <v>19</v>
      </c>
      <c r="K54" s="98">
        <f t="shared" si="3"/>
        <v>11279.3079</v>
      </c>
      <c r="L54" s="16">
        <f t="shared" si="4"/>
        <v>11279.3079</v>
      </c>
      <c r="M54" s="854"/>
      <c r="N54" s="854"/>
      <c r="O54" s="854"/>
      <c r="P54" s="99">
        <f t="shared" si="2"/>
        <v>11279.3079</v>
      </c>
      <c r="Q54" s="853"/>
      <c r="R54" s="854"/>
      <c r="S54" s="855"/>
      <c r="T54" s="856"/>
      <c r="U54" s="854"/>
      <c r="V54" s="852"/>
    </row>
    <row r="55" spans="1:22" x14ac:dyDescent="0.3">
      <c r="A55" s="857"/>
      <c r="B55" s="858"/>
      <c r="C55" s="860"/>
      <c r="D55" s="455"/>
      <c r="E55" s="861"/>
      <c r="F55" s="861"/>
      <c r="G55" s="96">
        <v>1</v>
      </c>
      <c r="H55" s="15" t="s">
        <v>1847</v>
      </c>
      <c r="I55" s="8">
        <v>6950</v>
      </c>
      <c r="J55" s="97">
        <v>19</v>
      </c>
      <c r="K55" s="98">
        <f t="shared" si="3"/>
        <v>8270.5</v>
      </c>
      <c r="L55" s="16">
        <f t="shared" si="4"/>
        <v>8270.5</v>
      </c>
      <c r="M55" s="854"/>
      <c r="N55" s="854"/>
      <c r="O55" s="854"/>
      <c r="P55" s="99">
        <f t="shared" si="2"/>
        <v>8270.5</v>
      </c>
      <c r="Q55" s="853"/>
      <c r="R55" s="854"/>
      <c r="S55" s="855"/>
      <c r="T55" s="856"/>
      <c r="U55" s="854"/>
      <c r="V55" s="852"/>
    </row>
    <row r="56" spans="1:22" ht="14.4" customHeight="1" x14ac:dyDescent="0.3">
      <c r="A56" s="857">
        <f>A53+1</f>
        <v>25</v>
      </c>
      <c r="B56" s="864" t="s">
        <v>1853</v>
      </c>
      <c r="C56" s="860" t="s">
        <v>1854</v>
      </c>
      <c r="D56" s="866" t="s">
        <v>1855</v>
      </c>
      <c r="E56" s="861" t="s">
        <v>570</v>
      </c>
      <c r="F56" s="861" t="s">
        <v>570</v>
      </c>
      <c r="G56" s="96">
        <v>1</v>
      </c>
      <c r="H56" s="15" t="s">
        <v>1856</v>
      </c>
      <c r="I56" s="8">
        <v>12510</v>
      </c>
      <c r="J56" s="97">
        <v>19</v>
      </c>
      <c r="K56" s="98">
        <f t="shared" si="3"/>
        <v>14886.9</v>
      </c>
      <c r="L56" s="16">
        <f t="shared" si="4"/>
        <v>14886.9</v>
      </c>
      <c r="M56" s="854">
        <f>IF(L57="","",AVERAGE(L57:L58))</f>
        <v>13729.029999999999</v>
      </c>
      <c r="N56" s="854">
        <f>IFERROR(HARMEAN(L57:L58),"")</f>
        <v>13711.093975903614</v>
      </c>
      <c r="O56" s="854">
        <f>IFERROR(MEDIAN(L57:L58),"")</f>
        <v>13729.029999999999</v>
      </c>
      <c r="P56" s="99">
        <f t="shared" si="2"/>
        <v>14886.9</v>
      </c>
      <c r="Q56" s="853">
        <f>IFERROR(SUM(P57:P58)/COUNTA(P57:P58),"")</f>
        <v>13729.029999999999</v>
      </c>
      <c r="R56" s="854">
        <f>IFERROR(_xlfn.STDEV.S(L57:L58),"")</f>
        <v>701.77519605640168</v>
      </c>
      <c r="S56" s="855">
        <f>IFERROR(R56/M56,"")</f>
        <v>5.1116152856858915E-2</v>
      </c>
      <c r="T56" s="856"/>
      <c r="U56" s="854">
        <f>M56</f>
        <v>13729.029999999999</v>
      </c>
      <c r="V56" s="852" t="s">
        <v>2000</v>
      </c>
    </row>
    <row r="57" spans="1:22" x14ac:dyDescent="0.3">
      <c r="A57" s="857"/>
      <c r="B57" s="865"/>
      <c r="C57" s="860"/>
      <c r="D57" s="866"/>
      <c r="E57" s="861"/>
      <c r="F57" s="861"/>
      <c r="G57" s="96">
        <v>1</v>
      </c>
      <c r="H57" s="15" t="s">
        <v>1857</v>
      </c>
      <c r="I57" s="8">
        <v>11120</v>
      </c>
      <c r="J57" s="97">
        <v>19</v>
      </c>
      <c r="K57" s="98">
        <f t="shared" si="3"/>
        <v>13232.8</v>
      </c>
      <c r="L57" s="16">
        <f t="shared" si="4"/>
        <v>13232.8</v>
      </c>
      <c r="M57" s="854"/>
      <c r="N57" s="854"/>
      <c r="O57" s="854"/>
      <c r="P57" s="99">
        <f t="shared" si="2"/>
        <v>13232.8</v>
      </c>
      <c r="Q57" s="853"/>
      <c r="R57" s="854"/>
      <c r="S57" s="855"/>
      <c r="T57" s="856"/>
      <c r="U57" s="854"/>
      <c r="V57" s="852"/>
    </row>
    <row r="58" spans="1:22" x14ac:dyDescent="0.3">
      <c r="A58" s="857"/>
      <c r="B58" s="865"/>
      <c r="C58" s="860"/>
      <c r="D58" s="866"/>
      <c r="E58" s="861"/>
      <c r="F58" s="861"/>
      <c r="G58" s="96">
        <v>1</v>
      </c>
      <c r="H58" s="15" t="s">
        <v>1858</v>
      </c>
      <c r="I58" s="8">
        <v>11954</v>
      </c>
      <c r="J58" s="97">
        <v>19</v>
      </c>
      <c r="K58" s="98">
        <f t="shared" si="3"/>
        <v>14225.26</v>
      </c>
      <c r="L58" s="16">
        <f t="shared" si="4"/>
        <v>14225.26</v>
      </c>
      <c r="M58" s="854"/>
      <c r="N58" s="854"/>
      <c r="O58" s="854"/>
      <c r="P58" s="99">
        <f t="shared" si="2"/>
        <v>14225.26</v>
      </c>
      <c r="Q58" s="853"/>
      <c r="R58" s="854"/>
      <c r="S58" s="855"/>
      <c r="T58" s="856"/>
      <c r="U58" s="854"/>
      <c r="V58" s="852"/>
    </row>
    <row r="59" spans="1:22" ht="14.4" customHeight="1" x14ac:dyDescent="0.3">
      <c r="A59" s="857">
        <f>A56+1</f>
        <v>26</v>
      </c>
      <c r="B59" s="858">
        <v>60124305</v>
      </c>
      <c r="C59" s="859" t="s">
        <v>1859</v>
      </c>
      <c r="D59" s="455" t="s">
        <v>1860</v>
      </c>
      <c r="E59" s="861" t="s">
        <v>570</v>
      </c>
      <c r="F59" s="861" t="s">
        <v>570</v>
      </c>
      <c r="G59" s="96">
        <v>1</v>
      </c>
      <c r="H59" s="15" t="s">
        <v>1856</v>
      </c>
      <c r="I59" s="8">
        <v>30580</v>
      </c>
      <c r="J59" s="97">
        <v>19</v>
      </c>
      <c r="K59" s="98">
        <f t="shared" si="3"/>
        <v>36390.199999999997</v>
      </c>
      <c r="L59" s="16">
        <f t="shared" si="4"/>
        <v>36390.199999999997</v>
      </c>
      <c r="M59" s="854">
        <f>IF(L60="","",AVERAGE(L60:L61))</f>
        <v>51111.69</v>
      </c>
      <c r="N59" s="854">
        <f>IFERROR(HARMEAN(L60:L61),"")</f>
        <v>47599.537864077676</v>
      </c>
      <c r="O59" s="854">
        <f>IFERROR(MEDIAN(L60:L61),"")</f>
        <v>51111.69</v>
      </c>
      <c r="P59" s="99">
        <f t="shared" si="2"/>
        <v>36390.199999999997</v>
      </c>
      <c r="Q59" s="853">
        <f>IFERROR(SUM(P60:P61)/COUNTA(P60:P61),"")</f>
        <v>51111.69</v>
      </c>
      <c r="R59" s="854">
        <f>IFERROR(_xlfn.STDEV.S(L60:L61),"")</f>
        <v>18947.930293522833</v>
      </c>
      <c r="S59" s="855">
        <f>IFERROR(R59/M59,"")</f>
        <v>0.3707161765444037</v>
      </c>
      <c r="T59" s="856"/>
      <c r="U59" s="854">
        <f>M59</f>
        <v>51111.69</v>
      </c>
      <c r="V59" s="852" t="s">
        <v>2000</v>
      </c>
    </row>
    <row r="60" spans="1:22" x14ac:dyDescent="0.3">
      <c r="A60" s="857"/>
      <c r="B60" s="858"/>
      <c r="C60" s="860"/>
      <c r="D60" s="455"/>
      <c r="E60" s="861"/>
      <c r="F60" s="861"/>
      <c r="G60" s="96">
        <v>1</v>
      </c>
      <c r="H60" s="15" t="s">
        <v>1847</v>
      </c>
      <c r="I60" s="8">
        <v>54210</v>
      </c>
      <c r="J60" s="97">
        <v>19</v>
      </c>
      <c r="K60" s="98">
        <f t="shared" si="3"/>
        <v>64509.9</v>
      </c>
      <c r="L60" s="16">
        <f t="shared" si="4"/>
        <v>64509.9</v>
      </c>
      <c r="M60" s="854"/>
      <c r="N60" s="854"/>
      <c r="O60" s="854"/>
      <c r="P60" s="99">
        <f t="shared" si="2"/>
        <v>64509.9</v>
      </c>
      <c r="Q60" s="853"/>
      <c r="R60" s="854"/>
      <c r="S60" s="855"/>
      <c r="T60" s="856"/>
      <c r="U60" s="854"/>
      <c r="V60" s="852"/>
    </row>
    <row r="61" spans="1:22" x14ac:dyDescent="0.3">
      <c r="A61" s="857"/>
      <c r="B61" s="858"/>
      <c r="C61" s="860"/>
      <c r="D61" s="455"/>
      <c r="E61" s="861"/>
      <c r="F61" s="861"/>
      <c r="G61" s="96">
        <v>1</v>
      </c>
      <c r="H61" s="15" t="s">
        <v>1858</v>
      </c>
      <c r="I61" s="8">
        <v>31692</v>
      </c>
      <c r="J61" s="97">
        <v>19</v>
      </c>
      <c r="K61" s="98">
        <f t="shared" si="3"/>
        <v>37713.480000000003</v>
      </c>
      <c r="L61" s="16">
        <f t="shared" si="4"/>
        <v>37713.480000000003</v>
      </c>
      <c r="M61" s="854"/>
      <c r="N61" s="854"/>
      <c r="O61" s="854"/>
      <c r="P61" s="99">
        <f t="shared" si="2"/>
        <v>37713.480000000003</v>
      </c>
      <c r="Q61" s="853"/>
      <c r="R61" s="854"/>
      <c r="S61" s="855"/>
      <c r="T61" s="856"/>
      <c r="U61" s="854"/>
      <c r="V61" s="852"/>
    </row>
    <row r="62" spans="1:22" ht="18" customHeight="1" x14ac:dyDescent="0.3">
      <c r="A62" s="857">
        <f>A59+1</f>
        <v>27</v>
      </c>
      <c r="B62" s="455" t="s">
        <v>1861</v>
      </c>
      <c r="C62" s="860" t="s">
        <v>1862</v>
      </c>
      <c r="D62" s="455" t="s">
        <v>1863</v>
      </c>
      <c r="E62" s="861" t="s">
        <v>570</v>
      </c>
      <c r="F62" s="861" t="s">
        <v>570</v>
      </c>
      <c r="G62" s="96">
        <v>1</v>
      </c>
      <c r="H62" s="15" t="s">
        <v>1858</v>
      </c>
      <c r="I62" s="8">
        <v>13900</v>
      </c>
      <c r="J62" s="97">
        <v>19</v>
      </c>
      <c r="K62" s="98">
        <f t="shared" si="3"/>
        <v>16541</v>
      </c>
      <c r="L62" s="16">
        <f t="shared" si="4"/>
        <v>16541</v>
      </c>
      <c r="M62" s="854">
        <f>IF(L63="","",AVERAGE(L63:L63))</f>
        <v>11826.815000000001</v>
      </c>
      <c r="N62" s="854">
        <f>IFERROR(HARMEAN(L63:L63),"")</f>
        <v>11826.815000000001</v>
      </c>
      <c r="O62" s="854">
        <f>IFERROR(MEDIAN(L63:L63),"")</f>
        <v>11826.815000000001</v>
      </c>
      <c r="P62" s="99">
        <f t="shared" si="2"/>
        <v>16541</v>
      </c>
      <c r="Q62" s="853">
        <f>IFERROR(SUM(P63:P63)/COUNTA(P63:P63),"")</f>
        <v>11826.815000000001</v>
      </c>
      <c r="R62" s="854" t="str">
        <f>IFERROR(_xlfn.STDEV.S(L63:L63),"")</f>
        <v/>
      </c>
      <c r="S62" s="855" t="str">
        <f>IFERROR(R62/M62,"")</f>
        <v/>
      </c>
      <c r="T62" s="856"/>
      <c r="U62" s="854">
        <f>M62</f>
        <v>11826.815000000001</v>
      </c>
      <c r="V62" s="852" t="s">
        <v>2000</v>
      </c>
    </row>
    <row r="63" spans="1:22" ht="18.600000000000001" customHeight="1" x14ac:dyDescent="0.3">
      <c r="A63" s="857"/>
      <c r="B63" s="858"/>
      <c r="C63" s="860"/>
      <c r="D63" s="455"/>
      <c r="E63" s="861"/>
      <c r="F63" s="861"/>
      <c r="G63" s="96">
        <v>1</v>
      </c>
      <c r="H63" s="15" t="s">
        <v>1847</v>
      </c>
      <c r="I63" s="8">
        <v>9938.5</v>
      </c>
      <c r="J63" s="97">
        <v>19</v>
      </c>
      <c r="K63" s="98">
        <f t="shared" si="3"/>
        <v>11826.815000000001</v>
      </c>
      <c r="L63" s="16">
        <f t="shared" si="4"/>
        <v>11826.815000000001</v>
      </c>
      <c r="M63" s="854"/>
      <c r="N63" s="854"/>
      <c r="O63" s="854"/>
      <c r="P63" s="99">
        <f t="shared" si="2"/>
        <v>11826.815000000001</v>
      </c>
      <c r="Q63" s="853"/>
      <c r="R63" s="854"/>
      <c r="S63" s="855"/>
      <c r="T63" s="856"/>
      <c r="U63" s="854"/>
      <c r="V63" s="852"/>
    </row>
    <row r="64" spans="1:22" ht="14.4" customHeight="1" x14ac:dyDescent="0.3">
      <c r="A64" s="857">
        <f>A62+1</f>
        <v>28</v>
      </c>
      <c r="B64" s="858">
        <v>60124305</v>
      </c>
      <c r="C64" s="860" t="s">
        <v>1864</v>
      </c>
      <c r="D64" s="455" t="s">
        <v>1865</v>
      </c>
      <c r="E64" s="861" t="s">
        <v>570</v>
      </c>
      <c r="F64" s="861" t="s">
        <v>570</v>
      </c>
      <c r="G64" s="96">
        <v>1</v>
      </c>
      <c r="H64" s="15" t="s">
        <v>1858</v>
      </c>
      <c r="I64" s="8">
        <v>10911.5</v>
      </c>
      <c r="J64" s="97">
        <v>19</v>
      </c>
      <c r="K64" s="98">
        <f t="shared" si="3"/>
        <v>12984.684999999999</v>
      </c>
      <c r="L64" s="16">
        <f t="shared" si="4"/>
        <v>12984.684999999999</v>
      </c>
      <c r="M64" s="854">
        <f>IF(L65="","",AVERAGE(L65:L66))</f>
        <v>23157.4</v>
      </c>
      <c r="N64" s="854">
        <f>IFERROR(HARMEAN(L65:L66),"")</f>
        <v>20764.862500000003</v>
      </c>
      <c r="O64" s="854">
        <f>IFERROR(MEDIAN(L65:L66),"")</f>
        <v>23157.4</v>
      </c>
      <c r="P64" s="99">
        <f t="shared" si="2"/>
        <v>12984.684999999999</v>
      </c>
      <c r="Q64" s="853">
        <f>IFERROR(SUM(P65:P66)/COUNTA(P65:P66),"")</f>
        <v>23157.4</v>
      </c>
      <c r="R64" s="854">
        <f>IFERROR(_xlfn.STDEV.S(L65:L66),"")</f>
        <v>10526.627940846012</v>
      </c>
      <c r="S64" s="855">
        <f>IFERROR(R64/M64,"")</f>
        <v>0.4545686450484947</v>
      </c>
      <c r="T64" s="856"/>
      <c r="U64" s="854">
        <f>M64</f>
        <v>23157.4</v>
      </c>
      <c r="V64" s="852" t="s">
        <v>2000</v>
      </c>
    </row>
    <row r="65" spans="1:22" x14ac:dyDescent="0.3">
      <c r="A65" s="857"/>
      <c r="B65" s="858"/>
      <c r="C65" s="860"/>
      <c r="D65" s="455"/>
      <c r="E65" s="861"/>
      <c r="F65" s="861"/>
      <c r="G65" s="96">
        <v>1</v>
      </c>
      <c r="H65" s="15" t="s">
        <v>1856</v>
      </c>
      <c r="I65" s="8">
        <v>25715</v>
      </c>
      <c r="J65" s="97">
        <v>19</v>
      </c>
      <c r="K65" s="98">
        <f t="shared" si="3"/>
        <v>30600.85</v>
      </c>
      <c r="L65" s="16">
        <f t="shared" si="4"/>
        <v>30600.85</v>
      </c>
      <c r="M65" s="854"/>
      <c r="N65" s="854"/>
      <c r="O65" s="854"/>
      <c r="P65" s="99">
        <f t="shared" si="2"/>
        <v>30600.85</v>
      </c>
      <c r="Q65" s="853"/>
      <c r="R65" s="854"/>
      <c r="S65" s="855"/>
      <c r="T65" s="856"/>
      <c r="U65" s="854"/>
      <c r="V65" s="852"/>
    </row>
    <row r="66" spans="1:22" x14ac:dyDescent="0.3">
      <c r="A66" s="857"/>
      <c r="B66" s="858"/>
      <c r="C66" s="860"/>
      <c r="D66" s="455"/>
      <c r="E66" s="861"/>
      <c r="F66" s="861"/>
      <c r="G66" s="96">
        <v>1</v>
      </c>
      <c r="H66" s="15" t="s">
        <v>1857</v>
      </c>
      <c r="I66" s="8">
        <v>13205</v>
      </c>
      <c r="J66" s="97">
        <v>19</v>
      </c>
      <c r="K66" s="98">
        <f t="shared" si="3"/>
        <v>15713.95</v>
      </c>
      <c r="L66" s="16">
        <f t="shared" si="4"/>
        <v>15713.95</v>
      </c>
      <c r="M66" s="854"/>
      <c r="N66" s="854"/>
      <c r="O66" s="854"/>
      <c r="P66" s="99">
        <f t="shared" si="2"/>
        <v>15713.95</v>
      </c>
      <c r="Q66" s="853"/>
      <c r="R66" s="854"/>
      <c r="S66" s="855"/>
      <c r="T66" s="856"/>
      <c r="U66" s="854"/>
      <c r="V66" s="852"/>
    </row>
    <row r="67" spans="1:22" ht="14.4" customHeight="1" x14ac:dyDescent="0.3">
      <c r="A67" s="857">
        <f>A64+1</f>
        <v>29</v>
      </c>
      <c r="B67" s="858">
        <v>60124305</v>
      </c>
      <c r="C67" s="859" t="s">
        <v>1866</v>
      </c>
      <c r="D67" s="455" t="s">
        <v>1867</v>
      </c>
      <c r="E67" s="861" t="s">
        <v>570</v>
      </c>
      <c r="F67" s="861" t="s">
        <v>570</v>
      </c>
      <c r="G67" s="96">
        <v>1</v>
      </c>
      <c r="H67" s="15" t="s">
        <v>1847</v>
      </c>
      <c r="I67" s="8">
        <v>33499</v>
      </c>
      <c r="J67" s="97">
        <v>19</v>
      </c>
      <c r="K67" s="98">
        <f t="shared" si="3"/>
        <v>39863.81</v>
      </c>
      <c r="L67" s="16">
        <f t="shared" si="4"/>
        <v>39863.81</v>
      </c>
      <c r="M67" s="854">
        <f>IF(L68="","",AVERAGE(L68:L69))</f>
        <v>70795.48</v>
      </c>
      <c r="N67" s="854">
        <f>IFERROR(HARMEAN(L68:L69),"")</f>
        <v>68792.009345794388</v>
      </c>
      <c r="O67" s="854">
        <f>IFERROR(MEDIAN(L68:L69),"")</f>
        <v>70795.48</v>
      </c>
      <c r="P67" s="99">
        <f t="shared" si="2"/>
        <v>39863.81</v>
      </c>
      <c r="Q67" s="853">
        <f>IFERROR(SUM(P68:P69)/COUNTA(P68:P69),"")</f>
        <v>70795.48</v>
      </c>
      <c r="R67" s="854">
        <f>IFERROR(_xlfn.STDEV.S(L68:L69),"")</f>
        <v>16842.604705353606</v>
      </c>
      <c r="S67" s="855">
        <f>IFERROR(R67/M67,"")</f>
        <v>0.2379050852590251</v>
      </c>
      <c r="T67" s="856"/>
      <c r="U67" s="854">
        <f>M67</f>
        <v>70795.48</v>
      </c>
      <c r="V67" s="852" t="s">
        <v>2000</v>
      </c>
    </row>
    <row r="68" spans="1:22" x14ac:dyDescent="0.3">
      <c r="A68" s="857"/>
      <c r="B68" s="858"/>
      <c r="C68" s="860"/>
      <c r="D68" s="455"/>
      <c r="E68" s="861"/>
      <c r="F68" s="861"/>
      <c r="G68" s="96">
        <v>1</v>
      </c>
      <c r="H68" s="15" t="s">
        <v>1858</v>
      </c>
      <c r="I68" s="8">
        <v>49484</v>
      </c>
      <c r="J68" s="97">
        <v>19</v>
      </c>
      <c r="K68" s="98">
        <f t="shared" si="3"/>
        <v>58885.96</v>
      </c>
      <c r="L68" s="16">
        <f t="shared" si="4"/>
        <v>58885.96</v>
      </c>
      <c r="M68" s="854"/>
      <c r="N68" s="854"/>
      <c r="O68" s="854"/>
      <c r="P68" s="99">
        <f t="shared" si="2"/>
        <v>58885.96</v>
      </c>
      <c r="Q68" s="853"/>
      <c r="R68" s="854"/>
      <c r="S68" s="855"/>
      <c r="T68" s="856"/>
      <c r="U68" s="854"/>
      <c r="V68" s="852"/>
    </row>
    <row r="69" spans="1:22" x14ac:dyDescent="0.3">
      <c r="A69" s="857"/>
      <c r="B69" s="858"/>
      <c r="C69" s="860"/>
      <c r="D69" s="455"/>
      <c r="E69" s="861"/>
      <c r="F69" s="861"/>
      <c r="G69" s="96">
        <v>1</v>
      </c>
      <c r="H69" s="15" t="s">
        <v>1868</v>
      </c>
      <c r="I69" s="8">
        <v>69500</v>
      </c>
      <c r="J69" s="97">
        <v>19</v>
      </c>
      <c r="K69" s="98">
        <f t="shared" ref="K69:K100" si="5">(I69*0.19)+I69</f>
        <v>82705</v>
      </c>
      <c r="L69" s="16">
        <f t="shared" ref="L69:L100" si="6">IF(I69=0,"",(K69)*$G69)</f>
        <v>82705</v>
      </c>
      <c r="M69" s="854"/>
      <c r="N69" s="854"/>
      <c r="O69" s="854"/>
      <c r="P69" s="99">
        <f t="shared" si="2"/>
        <v>82705</v>
      </c>
      <c r="Q69" s="853"/>
      <c r="R69" s="854"/>
      <c r="S69" s="855"/>
      <c r="T69" s="856"/>
      <c r="U69" s="854"/>
      <c r="V69" s="852"/>
    </row>
    <row r="70" spans="1:22" ht="21" customHeight="1" x14ac:dyDescent="0.3">
      <c r="A70" s="857">
        <f>A67+1</f>
        <v>30</v>
      </c>
      <c r="B70" s="858">
        <v>60124305</v>
      </c>
      <c r="C70" s="859" t="s">
        <v>1869</v>
      </c>
      <c r="D70" s="455" t="s">
        <v>1870</v>
      </c>
      <c r="E70" s="861" t="s">
        <v>570</v>
      </c>
      <c r="F70" s="861" t="s">
        <v>570</v>
      </c>
      <c r="G70" s="96">
        <v>1</v>
      </c>
      <c r="H70" s="15" t="s">
        <v>1858</v>
      </c>
      <c r="I70" s="8">
        <v>29885</v>
      </c>
      <c r="J70" s="97">
        <v>19</v>
      </c>
      <c r="K70" s="98">
        <f t="shared" si="5"/>
        <v>35563.15</v>
      </c>
      <c r="L70" s="16">
        <f t="shared" si="6"/>
        <v>35563.15</v>
      </c>
      <c r="M70" s="854">
        <f>IF(L71="","",AVERAGE(L71:L71))</f>
        <v>36390.199999999997</v>
      </c>
      <c r="N70" s="854">
        <f>IFERROR(HARMEAN(L71:L71),"")</f>
        <v>36390.199999999997</v>
      </c>
      <c r="O70" s="854">
        <f>IFERROR(MEDIAN(L71:L71),"")</f>
        <v>36390.199999999997</v>
      </c>
      <c r="P70" s="99">
        <f t="shared" si="2"/>
        <v>35563.15</v>
      </c>
      <c r="Q70" s="853">
        <f>IFERROR(SUM(P71:P71)/COUNTA(P71:P71),"")</f>
        <v>36390.199999999997</v>
      </c>
      <c r="R70" s="854" t="str">
        <f>IFERROR(_xlfn.STDEV.S(L71:L71),"")</f>
        <v/>
      </c>
      <c r="S70" s="855" t="str">
        <f>IFERROR(R70/M70,"")</f>
        <v/>
      </c>
      <c r="T70" s="856"/>
      <c r="U70" s="854">
        <f>M70</f>
        <v>36390.199999999997</v>
      </c>
      <c r="V70" s="852" t="s">
        <v>2000</v>
      </c>
    </row>
    <row r="71" spans="1:22" ht="20.399999999999999" customHeight="1" x14ac:dyDescent="0.3">
      <c r="A71" s="857"/>
      <c r="B71" s="858"/>
      <c r="C71" s="860"/>
      <c r="D71" s="455"/>
      <c r="E71" s="861"/>
      <c r="F71" s="861"/>
      <c r="G71" s="96">
        <v>1</v>
      </c>
      <c r="H71" s="15" t="s">
        <v>438</v>
      </c>
      <c r="I71" s="8">
        <v>30580</v>
      </c>
      <c r="J71" s="97">
        <v>19</v>
      </c>
      <c r="K71" s="98">
        <f t="shared" si="5"/>
        <v>36390.199999999997</v>
      </c>
      <c r="L71" s="16">
        <f t="shared" si="6"/>
        <v>36390.199999999997</v>
      </c>
      <c r="M71" s="854"/>
      <c r="N71" s="854"/>
      <c r="O71" s="854"/>
      <c r="P71" s="99">
        <f t="shared" ref="P71:P121" si="7">IF(L71="","",L71)</f>
        <v>36390.199999999997</v>
      </c>
      <c r="Q71" s="853"/>
      <c r="R71" s="854"/>
      <c r="S71" s="855"/>
      <c r="T71" s="856"/>
      <c r="U71" s="854"/>
      <c r="V71" s="852"/>
    </row>
    <row r="72" spans="1:22" ht="14.4" customHeight="1" x14ac:dyDescent="0.3">
      <c r="A72" s="857">
        <f>A70+1</f>
        <v>31</v>
      </c>
      <c r="B72" s="858">
        <v>39121440</v>
      </c>
      <c r="C72" s="859" t="s">
        <v>1871</v>
      </c>
      <c r="D72" s="863" t="s">
        <v>1872</v>
      </c>
      <c r="E72" s="861" t="s">
        <v>570</v>
      </c>
      <c r="F72" s="861" t="s">
        <v>155</v>
      </c>
      <c r="G72" s="96">
        <v>1</v>
      </c>
      <c r="H72" s="15" t="s">
        <v>1843</v>
      </c>
      <c r="I72" s="8">
        <v>47440.7</v>
      </c>
      <c r="J72" s="97">
        <v>19</v>
      </c>
      <c r="K72" s="98">
        <f t="shared" si="5"/>
        <v>56454.432999999997</v>
      </c>
      <c r="L72" s="16">
        <f t="shared" si="6"/>
        <v>56454.432999999997</v>
      </c>
      <c r="M72" s="854">
        <f>IF(L73="","",AVERAGE(L73:L74))</f>
        <v>111817.16</v>
      </c>
      <c r="N72" s="854">
        <f>IFERROR(HARMEAN(L73:L74),"")</f>
        <v>86288.964896449703</v>
      </c>
      <c r="O72" s="854">
        <f>IFERROR(MEDIAN(L73:L74),"")</f>
        <v>111817.16</v>
      </c>
      <c r="P72" s="99">
        <f t="shared" si="7"/>
        <v>56454.432999999997</v>
      </c>
      <c r="Q72" s="853">
        <f>IFERROR(SUM(P73:P74)/COUNTA(P73:P74),"")</f>
        <v>111817.16</v>
      </c>
      <c r="R72" s="854">
        <f>IFERROR(_xlfn.STDEV.S(L73:L74),"")</f>
        <v>75557.79610873916</v>
      </c>
      <c r="S72" s="855">
        <f>IFERROR(R72/M72,"")</f>
        <v>0.67572630273152312</v>
      </c>
      <c r="T72" s="856"/>
      <c r="U72" s="854">
        <f>M72</f>
        <v>111817.16</v>
      </c>
      <c r="V72" s="852" t="s">
        <v>2000</v>
      </c>
    </row>
    <row r="73" spans="1:22" x14ac:dyDescent="0.3">
      <c r="A73" s="857"/>
      <c r="B73" s="858"/>
      <c r="C73" s="860"/>
      <c r="D73" s="863"/>
      <c r="E73" s="861"/>
      <c r="F73" s="861"/>
      <c r="G73" s="96">
        <v>1</v>
      </c>
      <c r="H73" s="15" t="s">
        <v>1873</v>
      </c>
      <c r="I73" s="8">
        <v>49067</v>
      </c>
      <c r="J73" s="97">
        <v>19</v>
      </c>
      <c r="K73" s="98">
        <f t="shared" si="5"/>
        <v>58389.729999999996</v>
      </c>
      <c r="L73" s="16">
        <f t="shared" si="6"/>
        <v>58389.729999999996</v>
      </c>
      <c r="M73" s="854"/>
      <c r="N73" s="854"/>
      <c r="O73" s="854"/>
      <c r="P73" s="99">
        <f t="shared" si="7"/>
        <v>58389.729999999996</v>
      </c>
      <c r="Q73" s="853"/>
      <c r="R73" s="854"/>
      <c r="S73" s="855"/>
      <c r="T73" s="856"/>
      <c r="U73" s="854"/>
      <c r="V73" s="852"/>
    </row>
    <row r="74" spans="1:22" x14ac:dyDescent="0.3">
      <c r="A74" s="857"/>
      <c r="B74" s="858"/>
      <c r="C74" s="860"/>
      <c r="D74" s="863"/>
      <c r="E74" s="861"/>
      <c r="F74" s="861"/>
      <c r="G74" s="96">
        <v>1</v>
      </c>
      <c r="H74" s="15" t="s">
        <v>1880</v>
      </c>
      <c r="I74" s="8">
        <v>138861</v>
      </c>
      <c r="J74" s="97">
        <v>19</v>
      </c>
      <c r="K74" s="98">
        <f t="shared" si="5"/>
        <v>165244.59</v>
      </c>
      <c r="L74" s="16">
        <f t="shared" si="6"/>
        <v>165244.59</v>
      </c>
      <c r="M74" s="854"/>
      <c r="N74" s="854"/>
      <c r="O74" s="854"/>
      <c r="P74" s="99">
        <f t="shared" si="7"/>
        <v>165244.59</v>
      </c>
      <c r="Q74" s="853"/>
      <c r="R74" s="854"/>
      <c r="S74" s="855"/>
      <c r="T74" s="856"/>
      <c r="U74" s="854"/>
      <c r="V74" s="852"/>
    </row>
    <row r="75" spans="1:22" ht="14.4" customHeight="1" x14ac:dyDescent="0.3">
      <c r="A75" s="857">
        <f>A72+1</f>
        <v>32</v>
      </c>
      <c r="B75" s="858">
        <v>31211904</v>
      </c>
      <c r="C75" s="859" t="s">
        <v>1874</v>
      </c>
      <c r="D75" s="455" t="s">
        <v>1875</v>
      </c>
      <c r="E75" s="861" t="s">
        <v>570</v>
      </c>
      <c r="F75" s="861" t="s">
        <v>570</v>
      </c>
      <c r="G75" s="96">
        <v>1</v>
      </c>
      <c r="H75" s="15" t="s">
        <v>1876</v>
      </c>
      <c r="I75" s="8">
        <v>5421</v>
      </c>
      <c r="J75" s="97">
        <v>19</v>
      </c>
      <c r="K75" s="98">
        <f t="shared" si="5"/>
        <v>6450.99</v>
      </c>
      <c r="L75" s="16">
        <f t="shared" si="6"/>
        <v>6450.99</v>
      </c>
      <c r="M75" s="854">
        <f>IF(L76="","",AVERAGE(L76:L77))</f>
        <v>8270.5</v>
      </c>
      <c r="N75" s="854">
        <f>IFERROR(HARMEAN(L76:L77),"")</f>
        <v>8108.3982000000005</v>
      </c>
      <c r="O75" s="854">
        <f>IFERROR(MEDIAN(L76:L77),"")</f>
        <v>8270.5</v>
      </c>
      <c r="P75" s="99">
        <f t="shared" si="7"/>
        <v>6450.99</v>
      </c>
      <c r="Q75" s="853">
        <f>IFERROR(SUM(P76:P77)/COUNTA(P76:P77),"")</f>
        <v>8270.5</v>
      </c>
      <c r="R75" s="854">
        <f>IFERROR(_xlfn.STDEV.S(L76:L77),"")</f>
        <v>1637.4754574649476</v>
      </c>
      <c r="S75" s="855">
        <f>IFERROR(R75/M75,"")</f>
        <v>0.19798989873223477</v>
      </c>
      <c r="T75" s="856"/>
      <c r="U75" s="854">
        <f>M75</f>
        <v>8270.5</v>
      </c>
      <c r="V75" s="852" t="s">
        <v>2000</v>
      </c>
    </row>
    <row r="76" spans="1:22" x14ac:dyDescent="0.3">
      <c r="A76" s="857"/>
      <c r="B76" s="858"/>
      <c r="C76" s="860"/>
      <c r="D76" s="455"/>
      <c r="E76" s="861"/>
      <c r="F76" s="861"/>
      <c r="G76" s="96">
        <v>1</v>
      </c>
      <c r="H76" s="15" t="s">
        <v>1877</v>
      </c>
      <c r="I76" s="8">
        <v>5977</v>
      </c>
      <c r="J76" s="97">
        <v>19</v>
      </c>
      <c r="K76" s="98">
        <f t="shared" si="5"/>
        <v>7112.63</v>
      </c>
      <c r="L76" s="16">
        <f t="shared" si="6"/>
        <v>7112.63</v>
      </c>
      <c r="M76" s="854"/>
      <c r="N76" s="854"/>
      <c r="O76" s="854"/>
      <c r="P76" s="99">
        <f t="shared" si="7"/>
        <v>7112.63</v>
      </c>
      <c r="Q76" s="853"/>
      <c r="R76" s="854"/>
      <c r="S76" s="855"/>
      <c r="T76" s="856"/>
      <c r="U76" s="854"/>
      <c r="V76" s="852"/>
    </row>
    <row r="77" spans="1:22" x14ac:dyDescent="0.3">
      <c r="A77" s="857"/>
      <c r="B77" s="858"/>
      <c r="C77" s="860"/>
      <c r="D77" s="455"/>
      <c r="E77" s="861"/>
      <c r="F77" s="861"/>
      <c r="G77" s="96">
        <v>1</v>
      </c>
      <c r="H77" s="15" t="s">
        <v>557</v>
      </c>
      <c r="I77" s="8">
        <v>7923</v>
      </c>
      <c r="J77" s="97">
        <v>19</v>
      </c>
      <c r="K77" s="98">
        <f t="shared" si="5"/>
        <v>9428.3700000000008</v>
      </c>
      <c r="L77" s="16">
        <f t="shared" si="6"/>
        <v>9428.3700000000008</v>
      </c>
      <c r="M77" s="854"/>
      <c r="N77" s="854"/>
      <c r="O77" s="854"/>
      <c r="P77" s="99">
        <f t="shared" si="7"/>
        <v>9428.3700000000008</v>
      </c>
      <c r="Q77" s="853"/>
      <c r="R77" s="854"/>
      <c r="S77" s="855"/>
      <c r="T77" s="856"/>
      <c r="U77" s="854"/>
      <c r="V77" s="852"/>
    </row>
    <row r="78" spans="1:22" ht="17.399999999999999" customHeight="1" x14ac:dyDescent="0.3">
      <c r="A78" s="857">
        <f>A75+1</f>
        <v>33</v>
      </c>
      <c r="B78" s="858">
        <v>31211717</v>
      </c>
      <c r="C78" s="859" t="s">
        <v>1878</v>
      </c>
      <c r="D78" s="455" t="s">
        <v>1879</v>
      </c>
      <c r="E78" s="861" t="s">
        <v>570</v>
      </c>
      <c r="F78" s="861" t="s">
        <v>570</v>
      </c>
      <c r="G78" s="96">
        <v>1</v>
      </c>
      <c r="H78" s="15" t="s">
        <v>1880</v>
      </c>
      <c r="I78" s="8">
        <v>248671</v>
      </c>
      <c r="J78" s="97">
        <v>19</v>
      </c>
      <c r="K78" s="98">
        <f t="shared" si="5"/>
        <v>295918.49</v>
      </c>
      <c r="L78" s="16">
        <f t="shared" si="6"/>
        <v>295918.49</v>
      </c>
      <c r="M78" s="854">
        <f>IF(L79="","",AVERAGE(L79:L79))</f>
        <v>388713.5</v>
      </c>
      <c r="N78" s="854">
        <f>IFERROR(HARMEAN(L79:L79),"")</f>
        <v>388713.5</v>
      </c>
      <c r="O78" s="854">
        <f>IFERROR(MEDIAN(L79:L79),"")</f>
        <v>388713.5</v>
      </c>
      <c r="P78" s="99">
        <f t="shared" si="7"/>
        <v>295918.49</v>
      </c>
      <c r="Q78" s="853">
        <f>IFERROR(SUM(P79:P79)/COUNTA(P79:P79),"")</f>
        <v>388713.5</v>
      </c>
      <c r="R78" s="854" t="str">
        <f>IFERROR(_xlfn.STDEV.S(L79:L79),"")</f>
        <v/>
      </c>
      <c r="S78" s="855" t="str">
        <f>IFERROR(R78/M78,"")</f>
        <v/>
      </c>
      <c r="T78" s="856"/>
      <c r="U78" s="854">
        <f>M78</f>
        <v>388713.5</v>
      </c>
      <c r="V78" s="852" t="s">
        <v>2000</v>
      </c>
    </row>
    <row r="79" spans="1:22" ht="17.399999999999999" customHeight="1" x14ac:dyDescent="0.3">
      <c r="A79" s="857"/>
      <c r="B79" s="858"/>
      <c r="C79" s="860"/>
      <c r="D79" s="455"/>
      <c r="E79" s="861"/>
      <c r="F79" s="861"/>
      <c r="G79" s="96">
        <v>1</v>
      </c>
      <c r="H79" s="15" t="s">
        <v>1997</v>
      </c>
      <c r="I79" s="8">
        <v>326650</v>
      </c>
      <c r="J79" s="97">
        <v>19</v>
      </c>
      <c r="K79" s="98">
        <f t="shared" si="5"/>
        <v>388713.5</v>
      </c>
      <c r="L79" s="16">
        <f t="shared" si="6"/>
        <v>388713.5</v>
      </c>
      <c r="M79" s="854"/>
      <c r="N79" s="854"/>
      <c r="O79" s="854"/>
      <c r="P79" s="99">
        <f t="shared" si="7"/>
        <v>388713.5</v>
      </c>
      <c r="Q79" s="853"/>
      <c r="R79" s="854"/>
      <c r="S79" s="855"/>
      <c r="T79" s="856"/>
      <c r="U79" s="854"/>
      <c r="V79" s="852"/>
    </row>
    <row r="80" spans="1:22" ht="20.399999999999999" customHeight="1" x14ac:dyDescent="0.3">
      <c r="A80" s="857">
        <f>A78+1</f>
        <v>34</v>
      </c>
      <c r="B80" s="858">
        <v>31210000</v>
      </c>
      <c r="C80" s="859" t="s">
        <v>1881</v>
      </c>
      <c r="D80" s="455" t="s">
        <v>1882</v>
      </c>
      <c r="E80" s="861" t="s">
        <v>1883</v>
      </c>
      <c r="F80" s="861" t="s">
        <v>1883</v>
      </c>
      <c r="G80" s="96">
        <v>1</v>
      </c>
      <c r="H80" s="15" t="s">
        <v>133</v>
      </c>
      <c r="I80" s="8">
        <v>29051</v>
      </c>
      <c r="J80" s="97">
        <v>19</v>
      </c>
      <c r="K80" s="98">
        <f t="shared" si="5"/>
        <v>34570.69</v>
      </c>
      <c r="L80" s="16">
        <f t="shared" si="6"/>
        <v>34570.69</v>
      </c>
      <c r="M80" s="854">
        <f>IF(L81="","",AVERAGE(L81:L81))</f>
        <v>18195.099999999999</v>
      </c>
      <c r="N80" s="854">
        <f>IFERROR(HARMEAN(L81:L81),"")</f>
        <v>18195.099999999999</v>
      </c>
      <c r="O80" s="854">
        <f>IFERROR(MEDIAN(L81:L81),"")</f>
        <v>18195.099999999999</v>
      </c>
      <c r="P80" s="99">
        <f t="shared" si="7"/>
        <v>34570.69</v>
      </c>
      <c r="Q80" s="853">
        <f>IFERROR(SUM(P81:P81)/COUNTA(P81:P81),"")</f>
        <v>18195.099999999999</v>
      </c>
      <c r="R80" s="854" t="str">
        <f>IFERROR(_xlfn.STDEV.S(L81:L81),"")</f>
        <v/>
      </c>
      <c r="S80" s="855" t="str">
        <f>IFERROR(R80/M80,"")</f>
        <v/>
      </c>
      <c r="T80" s="856"/>
      <c r="U80" s="854">
        <f>M80</f>
        <v>18195.099999999999</v>
      </c>
      <c r="V80" s="852" t="s">
        <v>2000</v>
      </c>
    </row>
    <row r="81" spans="1:22" ht="19.2" customHeight="1" x14ac:dyDescent="0.3">
      <c r="A81" s="857"/>
      <c r="B81" s="858"/>
      <c r="C81" s="860"/>
      <c r="D81" s="455"/>
      <c r="E81" s="861"/>
      <c r="F81" s="861"/>
      <c r="G81" s="96">
        <v>1</v>
      </c>
      <c r="H81" s="15" t="s">
        <v>1884</v>
      </c>
      <c r="I81" s="8">
        <v>15290</v>
      </c>
      <c r="J81" s="97">
        <v>19</v>
      </c>
      <c r="K81" s="98">
        <f t="shared" si="5"/>
        <v>18195.099999999999</v>
      </c>
      <c r="L81" s="16">
        <f t="shared" si="6"/>
        <v>18195.099999999999</v>
      </c>
      <c r="M81" s="854"/>
      <c r="N81" s="854"/>
      <c r="O81" s="854"/>
      <c r="P81" s="99">
        <f t="shared" si="7"/>
        <v>18195.099999999999</v>
      </c>
      <c r="Q81" s="853"/>
      <c r="R81" s="854"/>
      <c r="S81" s="855"/>
      <c r="T81" s="856"/>
      <c r="U81" s="854"/>
      <c r="V81" s="852"/>
    </row>
    <row r="82" spans="1:22" ht="19.95" customHeight="1" x14ac:dyDescent="0.3">
      <c r="A82" s="857">
        <f>A80+1</f>
        <v>35</v>
      </c>
      <c r="B82" s="858">
        <v>27111506</v>
      </c>
      <c r="C82" s="860" t="s">
        <v>1885</v>
      </c>
      <c r="D82" s="455" t="s">
        <v>1886</v>
      </c>
      <c r="E82" s="861" t="s">
        <v>1087</v>
      </c>
      <c r="F82" s="861" t="s">
        <v>104</v>
      </c>
      <c r="G82" s="96">
        <v>1</v>
      </c>
      <c r="H82" s="15" t="s">
        <v>438</v>
      </c>
      <c r="I82" s="8">
        <v>114786.2</v>
      </c>
      <c r="J82" s="97">
        <v>19</v>
      </c>
      <c r="K82" s="98">
        <f t="shared" si="5"/>
        <v>136595.57800000001</v>
      </c>
      <c r="L82" s="16">
        <f t="shared" si="6"/>
        <v>136595.57800000001</v>
      </c>
      <c r="M82" s="854">
        <f>IF(L83="","",AVERAGE(L83:L83))</f>
        <v>67818.100000000006</v>
      </c>
      <c r="N82" s="854">
        <f>IFERROR(HARMEAN(L83:L83),"")</f>
        <v>67818.100000000006</v>
      </c>
      <c r="O82" s="854">
        <f>IFERROR(MEDIAN(L83:L83),"")</f>
        <v>67818.100000000006</v>
      </c>
      <c r="P82" s="99">
        <f t="shared" si="7"/>
        <v>136595.57800000001</v>
      </c>
      <c r="Q82" s="853">
        <f>IFERROR(SUM(P83:P83)/COUNTA(P83:P83),"")</f>
        <v>67818.100000000006</v>
      </c>
      <c r="R82" s="854" t="str">
        <f>IFERROR(_xlfn.STDEV.S(L83:L83),"")</f>
        <v/>
      </c>
      <c r="S82" s="855" t="str">
        <f>IFERROR(R82/M82,"")</f>
        <v/>
      </c>
      <c r="T82" s="856"/>
      <c r="U82" s="854">
        <f>M82</f>
        <v>67818.100000000006</v>
      </c>
      <c r="V82" s="852" t="s">
        <v>2000</v>
      </c>
    </row>
    <row r="83" spans="1:22" ht="21.6" customHeight="1" x14ac:dyDescent="0.3">
      <c r="A83" s="857"/>
      <c r="B83" s="858"/>
      <c r="C83" s="860"/>
      <c r="D83" s="455"/>
      <c r="E83" s="861"/>
      <c r="F83" s="861"/>
      <c r="G83" s="96">
        <v>1</v>
      </c>
      <c r="H83" s="15" t="s">
        <v>1887</v>
      </c>
      <c r="I83" s="8">
        <v>56990</v>
      </c>
      <c r="J83" s="97">
        <v>19</v>
      </c>
      <c r="K83" s="98">
        <f t="shared" si="5"/>
        <v>67818.100000000006</v>
      </c>
      <c r="L83" s="16">
        <f t="shared" si="6"/>
        <v>67818.100000000006</v>
      </c>
      <c r="M83" s="854"/>
      <c r="N83" s="854"/>
      <c r="O83" s="854"/>
      <c r="P83" s="99">
        <f t="shared" si="7"/>
        <v>67818.100000000006</v>
      </c>
      <c r="Q83" s="853"/>
      <c r="R83" s="854"/>
      <c r="S83" s="855"/>
      <c r="T83" s="856"/>
      <c r="U83" s="854"/>
      <c r="V83" s="852"/>
    </row>
    <row r="84" spans="1:22" ht="14.4" customHeight="1" x14ac:dyDescent="0.3">
      <c r="A84" s="857">
        <f>A82+1</f>
        <v>36</v>
      </c>
      <c r="B84" s="858">
        <v>27111506</v>
      </c>
      <c r="C84" s="859" t="s">
        <v>1888</v>
      </c>
      <c r="D84" s="862" t="s">
        <v>1998</v>
      </c>
      <c r="E84" s="861" t="s">
        <v>1087</v>
      </c>
      <c r="F84" s="861" t="s">
        <v>1087</v>
      </c>
      <c r="G84" s="96">
        <v>1</v>
      </c>
      <c r="H84" s="15" t="s">
        <v>1889</v>
      </c>
      <c r="I84" s="8">
        <v>9174</v>
      </c>
      <c r="J84" s="97">
        <v>19</v>
      </c>
      <c r="K84" s="98">
        <f t="shared" si="5"/>
        <v>10917.06</v>
      </c>
      <c r="L84" s="16">
        <f t="shared" si="6"/>
        <v>10917.06</v>
      </c>
      <c r="M84" s="854">
        <f>IF(L85="","",AVERAGE(L85:L86))</f>
        <v>16871.82</v>
      </c>
      <c r="N84" s="854">
        <f>IFERROR(HARMEAN(L85:L86),"")</f>
        <v>16857.224999999999</v>
      </c>
      <c r="O84" s="854">
        <f>IFERROR(MEDIAN(L85:L86),"")</f>
        <v>16871.82</v>
      </c>
      <c r="P84" s="99">
        <f t="shared" si="7"/>
        <v>10917.06</v>
      </c>
      <c r="Q84" s="853">
        <f>IFERROR(SUM(P85:P86)/COUNTA(P85:P86),"")</f>
        <v>16871.82</v>
      </c>
      <c r="R84" s="854">
        <f>IFERROR(_xlfn.STDEV.S(L85:L86),"")</f>
        <v>701.77519605640032</v>
      </c>
      <c r="S84" s="855">
        <f>IFERROR(R84/M84,"")</f>
        <v>4.159451654038511E-2</v>
      </c>
      <c r="T84" s="856"/>
      <c r="U84" s="854">
        <f>M84</f>
        <v>16871.82</v>
      </c>
      <c r="V84" s="852" t="s">
        <v>2000</v>
      </c>
    </row>
    <row r="85" spans="1:22" x14ac:dyDescent="0.3">
      <c r="A85" s="857"/>
      <c r="B85" s="858"/>
      <c r="C85" s="860"/>
      <c r="D85" s="455"/>
      <c r="E85" s="861"/>
      <c r="F85" s="861"/>
      <c r="G85" s="96">
        <v>1</v>
      </c>
      <c r="H85" s="15" t="s">
        <v>1890</v>
      </c>
      <c r="I85" s="8">
        <v>14595</v>
      </c>
      <c r="J85" s="97">
        <v>19</v>
      </c>
      <c r="K85" s="98">
        <f t="shared" si="5"/>
        <v>17368.05</v>
      </c>
      <c r="L85" s="16">
        <f t="shared" si="6"/>
        <v>17368.05</v>
      </c>
      <c r="M85" s="854"/>
      <c r="N85" s="854"/>
      <c r="O85" s="854"/>
      <c r="P85" s="99">
        <f t="shared" si="7"/>
        <v>17368.05</v>
      </c>
      <c r="Q85" s="853"/>
      <c r="R85" s="854"/>
      <c r="S85" s="855"/>
      <c r="T85" s="856"/>
      <c r="U85" s="854"/>
      <c r="V85" s="852"/>
    </row>
    <row r="86" spans="1:22" x14ac:dyDescent="0.3">
      <c r="A86" s="857"/>
      <c r="B86" s="858"/>
      <c r="C86" s="860"/>
      <c r="D86" s="455"/>
      <c r="E86" s="861"/>
      <c r="F86" s="861"/>
      <c r="G86" s="96">
        <v>1</v>
      </c>
      <c r="H86" s="15" t="s">
        <v>1891</v>
      </c>
      <c r="I86" s="8">
        <v>13761</v>
      </c>
      <c r="J86" s="97">
        <v>19</v>
      </c>
      <c r="K86" s="98">
        <f t="shared" si="5"/>
        <v>16375.59</v>
      </c>
      <c r="L86" s="16">
        <f t="shared" si="6"/>
        <v>16375.59</v>
      </c>
      <c r="M86" s="854"/>
      <c r="N86" s="854"/>
      <c r="O86" s="854"/>
      <c r="P86" s="99">
        <f t="shared" si="7"/>
        <v>16375.59</v>
      </c>
      <c r="Q86" s="853"/>
      <c r="R86" s="854"/>
      <c r="S86" s="855"/>
      <c r="T86" s="856"/>
      <c r="U86" s="854"/>
      <c r="V86" s="852"/>
    </row>
    <row r="87" spans="1:22" ht="19.2" customHeight="1" x14ac:dyDescent="0.3">
      <c r="A87" s="857">
        <f>A84+1</f>
        <v>37</v>
      </c>
      <c r="B87" s="858">
        <v>14111506</v>
      </c>
      <c r="C87" s="859" t="s">
        <v>1892</v>
      </c>
      <c r="D87" s="455" t="s">
        <v>1893</v>
      </c>
      <c r="E87" s="861" t="s">
        <v>1087</v>
      </c>
      <c r="F87" s="861" t="s">
        <v>1087</v>
      </c>
      <c r="G87" s="96">
        <v>1</v>
      </c>
      <c r="H87" s="15" t="s">
        <v>577</v>
      </c>
      <c r="I87" s="8">
        <v>33882.639999999999</v>
      </c>
      <c r="J87" s="97">
        <v>19</v>
      </c>
      <c r="K87" s="98">
        <f t="shared" si="5"/>
        <v>40320.3416</v>
      </c>
      <c r="L87" s="16">
        <f t="shared" si="6"/>
        <v>40320.3416</v>
      </c>
      <c r="M87" s="854">
        <f>IF(L88="","",AVERAGE(L88:L88))</f>
        <v>36390.199999999997</v>
      </c>
      <c r="N87" s="854">
        <f>IFERROR(HARMEAN(L88:L88),"")</f>
        <v>36390.199999999997</v>
      </c>
      <c r="O87" s="854">
        <f>IFERROR(MEDIAN(L88:L88),"")</f>
        <v>36390.199999999997</v>
      </c>
      <c r="P87" s="99">
        <f t="shared" si="7"/>
        <v>40320.3416</v>
      </c>
      <c r="Q87" s="853">
        <f>IFERROR(SUM(P88:P88)/COUNTA(P88:P88),"")</f>
        <v>36390.199999999997</v>
      </c>
      <c r="R87" s="854" t="str">
        <f>IFERROR(_xlfn.STDEV.S(L88:L88),"")</f>
        <v/>
      </c>
      <c r="S87" s="855" t="str">
        <f>IFERROR(R87/M87,"")</f>
        <v/>
      </c>
      <c r="T87" s="856"/>
      <c r="U87" s="854">
        <f>M87</f>
        <v>36390.199999999997</v>
      </c>
      <c r="V87" s="852" t="s">
        <v>2000</v>
      </c>
    </row>
    <row r="88" spans="1:22" ht="19.2" customHeight="1" x14ac:dyDescent="0.3">
      <c r="A88" s="857"/>
      <c r="B88" s="858"/>
      <c r="C88" s="860"/>
      <c r="D88" s="455"/>
      <c r="E88" s="861"/>
      <c r="F88" s="861"/>
      <c r="G88" s="96">
        <v>1</v>
      </c>
      <c r="H88" s="15" t="s">
        <v>1894</v>
      </c>
      <c r="I88" s="8">
        <v>30580</v>
      </c>
      <c r="J88" s="97">
        <v>19</v>
      </c>
      <c r="K88" s="98">
        <f t="shared" si="5"/>
        <v>36390.199999999997</v>
      </c>
      <c r="L88" s="16">
        <f t="shared" si="6"/>
        <v>36390.199999999997</v>
      </c>
      <c r="M88" s="854"/>
      <c r="N88" s="854"/>
      <c r="O88" s="854"/>
      <c r="P88" s="99">
        <f t="shared" si="7"/>
        <v>36390.199999999997</v>
      </c>
      <c r="Q88" s="853"/>
      <c r="R88" s="854"/>
      <c r="S88" s="855"/>
      <c r="T88" s="856"/>
      <c r="U88" s="854"/>
      <c r="V88" s="852"/>
    </row>
    <row r="89" spans="1:22" ht="14.4" customHeight="1" x14ac:dyDescent="0.3">
      <c r="A89" s="857">
        <f>A87+1</f>
        <v>38</v>
      </c>
      <c r="B89" s="858">
        <v>27112100</v>
      </c>
      <c r="C89" s="859" t="s">
        <v>1895</v>
      </c>
      <c r="D89" s="455" t="s">
        <v>1896</v>
      </c>
      <c r="E89" s="861" t="s">
        <v>1087</v>
      </c>
      <c r="F89" s="861" t="s">
        <v>1087</v>
      </c>
      <c r="G89" s="96">
        <v>1</v>
      </c>
      <c r="H89" s="15" t="s">
        <v>1880</v>
      </c>
      <c r="I89" s="8">
        <v>83261</v>
      </c>
      <c r="J89" s="97">
        <v>19</v>
      </c>
      <c r="K89" s="98">
        <f t="shared" si="5"/>
        <v>99080.59</v>
      </c>
      <c r="L89" s="16">
        <f t="shared" si="6"/>
        <v>99080.59</v>
      </c>
      <c r="M89" s="854">
        <f>IF(L90="","",AVERAGE(L90:L91))</f>
        <v>51938.74</v>
      </c>
      <c r="N89" s="854">
        <f>IFERROR(HARMEAN(L90:L91),"")</f>
        <v>51919.775796178335</v>
      </c>
      <c r="O89" s="854">
        <f>IFERROR(MEDIAN(L90:L91),"")</f>
        <v>51938.74</v>
      </c>
      <c r="P89" s="99">
        <f t="shared" si="7"/>
        <v>99080.59</v>
      </c>
      <c r="Q89" s="853">
        <f>IFERROR(SUM(P90:P91)/COUNTA(P90:P91),"")</f>
        <v>51938.74</v>
      </c>
      <c r="R89" s="854">
        <f>IFERROR(_xlfn.STDEV.S(L90:L91),"")</f>
        <v>1403.5503921128006</v>
      </c>
      <c r="S89" s="855">
        <f>IFERROR(R89/M89,"")</f>
        <v>2.7023189089931728E-2</v>
      </c>
      <c r="T89" s="856"/>
      <c r="U89" s="854">
        <f>M89</f>
        <v>51938.74</v>
      </c>
      <c r="V89" s="852" t="s">
        <v>2000</v>
      </c>
    </row>
    <row r="90" spans="1:22" x14ac:dyDescent="0.3">
      <c r="A90" s="857"/>
      <c r="B90" s="858"/>
      <c r="C90" s="860"/>
      <c r="D90" s="455"/>
      <c r="E90" s="861"/>
      <c r="F90" s="861"/>
      <c r="G90" s="96">
        <v>1</v>
      </c>
      <c r="H90" s="15" t="s">
        <v>1897</v>
      </c>
      <c r="I90" s="8">
        <v>42812</v>
      </c>
      <c r="J90" s="97">
        <v>19</v>
      </c>
      <c r="K90" s="98">
        <f t="shared" si="5"/>
        <v>50946.28</v>
      </c>
      <c r="L90" s="16">
        <f t="shared" si="6"/>
        <v>50946.28</v>
      </c>
      <c r="M90" s="854"/>
      <c r="N90" s="854"/>
      <c r="O90" s="854"/>
      <c r="P90" s="99">
        <f t="shared" si="7"/>
        <v>50946.28</v>
      </c>
      <c r="Q90" s="853"/>
      <c r="R90" s="854"/>
      <c r="S90" s="855"/>
      <c r="T90" s="856"/>
      <c r="U90" s="854"/>
      <c r="V90" s="852"/>
    </row>
    <row r="91" spans="1:22" x14ac:dyDescent="0.3">
      <c r="A91" s="857"/>
      <c r="B91" s="858"/>
      <c r="C91" s="860"/>
      <c r="D91" s="455"/>
      <c r="E91" s="861"/>
      <c r="F91" s="861"/>
      <c r="G91" s="96">
        <v>1</v>
      </c>
      <c r="H91" s="15" t="s">
        <v>1898</v>
      </c>
      <c r="I91" s="8">
        <v>44480</v>
      </c>
      <c r="J91" s="97">
        <v>19</v>
      </c>
      <c r="K91" s="98">
        <f t="shared" si="5"/>
        <v>52931.199999999997</v>
      </c>
      <c r="L91" s="16">
        <f t="shared" si="6"/>
        <v>52931.199999999997</v>
      </c>
      <c r="M91" s="854"/>
      <c r="N91" s="854"/>
      <c r="O91" s="854"/>
      <c r="P91" s="99">
        <f t="shared" si="7"/>
        <v>52931.199999999997</v>
      </c>
      <c r="Q91" s="853"/>
      <c r="R91" s="854"/>
      <c r="S91" s="855"/>
      <c r="T91" s="856"/>
      <c r="U91" s="854"/>
      <c r="V91" s="852"/>
    </row>
    <row r="92" spans="1:22" ht="14.4" customHeight="1" x14ac:dyDescent="0.3">
      <c r="A92" s="857">
        <f>A89+1</f>
        <v>39</v>
      </c>
      <c r="B92" s="858">
        <v>27112100</v>
      </c>
      <c r="C92" s="860" t="s">
        <v>1899</v>
      </c>
      <c r="D92" s="455" t="s">
        <v>1900</v>
      </c>
      <c r="E92" s="861" t="s">
        <v>1087</v>
      </c>
      <c r="F92" s="861" t="s">
        <v>448</v>
      </c>
      <c r="G92" s="96">
        <v>1</v>
      </c>
      <c r="H92" s="15" t="s">
        <v>1880</v>
      </c>
      <c r="I92" s="8">
        <v>86041</v>
      </c>
      <c r="J92" s="97">
        <v>19</v>
      </c>
      <c r="K92" s="98">
        <f t="shared" si="5"/>
        <v>102388.79000000001</v>
      </c>
      <c r="L92" s="16">
        <f t="shared" si="6"/>
        <v>102388.79000000001</v>
      </c>
      <c r="M92" s="854">
        <f>IF(L93="","",AVERAGE(L93:L94))</f>
        <v>149406.58250000002</v>
      </c>
      <c r="N92" s="854">
        <f>IFERROR(HARMEAN(L93:L94),"")</f>
        <v>148837.41048989759</v>
      </c>
      <c r="O92" s="854">
        <f>IFERROR(MEDIAN(L93:L94),"")</f>
        <v>149406.58250000002</v>
      </c>
      <c r="P92" s="99">
        <f t="shared" si="7"/>
        <v>102388.79000000001</v>
      </c>
      <c r="Q92" s="853">
        <f>IFERROR(SUM(P93:P94)/COUNTA(P93:P94),"")</f>
        <v>149406.58250000002</v>
      </c>
      <c r="R92" s="854">
        <f>IFERROR(_xlfn.STDEV.S(L93:L94),"")</f>
        <v>13041.322393381448</v>
      </c>
      <c r="S92" s="855">
        <f>IFERROR(R92/M92,"")</f>
        <v>8.7287468698920581E-2</v>
      </c>
      <c r="T92" s="856"/>
      <c r="U92" s="854">
        <f>M92</f>
        <v>149406.58250000002</v>
      </c>
      <c r="V92" s="852" t="s">
        <v>2000</v>
      </c>
    </row>
    <row r="93" spans="1:22" x14ac:dyDescent="0.3">
      <c r="A93" s="857"/>
      <c r="B93" s="858"/>
      <c r="C93" s="860"/>
      <c r="D93" s="455"/>
      <c r="E93" s="861"/>
      <c r="F93" s="861"/>
      <c r="G93" s="96">
        <v>1</v>
      </c>
      <c r="H93" s="15" t="s">
        <v>603</v>
      </c>
      <c r="I93" s="8">
        <v>117802.5</v>
      </c>
      <c r="J93" s="97">
        <v>19</v>
      </c>
      <c r="K93" s="98">
        <f t="shared" si="5"/>
        <v>140184.97500000001</v>
      </c>
      <c r="L93" s="16">
        <f t="shared" si="6"/>
        <v>140184.97500000001</v>
      </c>
      <c r="M93" s="854"/>
      <c r="N93" s="854"/>
      <c r="O93" s="854"/>
      <c r="P93" s="99">
        <f t="shared" si="7"/>
        <v>140184.97500000001</v>
      </c>
      <c r="Q93" s="853"/>
      <c r="R93" s="854"/>
      <c r="S93" s="855"/>
      <c r="T93" s="856"/>
      <c r="U93" s="854"/>
      <c r="V93" s="852"/>
    </row>
    <row r="94" spans="1:22" x14ac:dyDescent="0.3">
      <c r="A94" s="857"/>
      <c r="B94" s="858"/>
      <c r="C94" s="860"/>
      <c r="D94" s="455"/>
      <c r="E94" s="861"/>
      <c r="F94" s="861"/>
      <c r="G94" s="96">
        <v>1</v>
      </c>
      <c r="H94" s="15" t="s">
        <v>606</v>
      </c>
      <c r="I94" s="8">
        <v>133301</v>
      </c>
      <c r="J94" s="97">
        <v>19</v>
      </c>
      <c r="K94" s="98">
        <f t="shared" si="5"/>
        <v>158628.19</v>
      </c>
      <c r="L94" s="16">
        <f t="shared" si="6"/>
        <v>158628.19</v>
      </c>
      <c r="M94" s="854"/>
      <c r="N94" s="854"/>
      <c r="O94" s="854"/>
      <c r="P94" s="99">
        <f t="shared" si="7"/>
        <v>158628.19</v>
      </c>
      <c r="Q94" s="853"/>
      <c r="R94" s="854"/>
      <c r="S94" s="855"/>
      <c r="T94" s="856"/>
      <c r="U94" s="854"/>
      <c r="V94" s="852"/>
    </row>
    <row r="95" spans="1:22" ht="14.4" customHeight="1" x14ac:dyDescent="0.3">
      <c r="A95" s="857">
        <f>A92+1</f>
        <v>40</v>
      </c>
      <c r="B95" s="858">
        <v>27112100</v>
      </c>
      <c r="C95" s="859" t="s">
        <v>1901</v>
      </c>
      <c r="D95" s="455" t="s">
        <v>1902</v>
      </c>
      <c r="E95" s="861" t="s">
        <v>1087</v>
      </c>
      <c r="F95" s="861" t="s">
        <v>1087</v>
      </c>
      <c r="G95" s="96">
        <v>1</v>
      </c>
      <c r="H95" s="15" t="s">
        <v>1903</v>
      </c>
      <c r="I95" s="8">
        <v>109337.4</v>
      </c>
      <c r="J95" s="97">
        <v>19</v>
      </c>
      <c r="K95" s="98">
        <f t="shared" si="5"/>
        <v>130111.50599999999</v>
      </c>
      <c r="L95" s="16">
        <f t="shared" si="6"/>
        <v>130111.50599999999</v>
      </c>
      <c r="M95" s="854">
        <f>IF(L96="","",AVERAGE(L96:L97))</f>
        <v>209450.41250000001</v>
      </c>
      <c r="N95" s="854">
        <f>IFERROR(HARMEAN(L96:L97),"")</f>
        <v>199768.12263770978</v>
      </c>
      <c r="O95" s="854">
        <f>IFERROR(MEDIAN(L96:L97),"")</f>
        <v>209450.41250000001</v>
      </c>
      <c r="P95" s="99">
        <f t="shared" si="7"/>
        <v>130111.50599999999</v>
      </c>
      <c r="Q95" s="853">
        <f>IFERROR(SUM(P96:P97)/COUNTA(P96:P97),"")</f>
        <v>209450.41250000001</v>
      </c>
      <c r="R95" s="854">
        <f>IFERROR(_xlfn.STDEV.S(L96:L97),"")</f>
        <v>63686.099042118403</v>
      </c>
      <c r="S95" s="855">
        <f>IFERROR(R95/M95,"")</f>
        <v>0.30406289623382049</v>
      </c>
      <c r="T95" s="856"/>
      <c r="U95" s="854">
        <f>M95</f>
        <v>209450.41250000001</v>
      </c>
      <c r="V95" s="852" t="s">
        <v>2000</v>
      </c>
    </row>
    <row r="96" spans="1:22" x14ac:dyDescent="0.3">
      <c r="A96" s="857"/>
      <c r="B96" s="858"/>
      <c r="C96" s="860"/>
      <c r="D96" s="455"/>
      <c r="E96" s="861"/>
      <c r="F96" s="861"/>
      <c r="G96" s="96">
        <v>1</v>
      </c>
      <c r="H96" s="15" t="s">
        <v>1904</v>
      </c>
      <c r="I96" s="8">
        <v>213851.5</v>
      </c>
      <c r="J96" s="97">
        <v>19</v>
      </c>
      <c r="K96" s="98">
        <f t="shared" si="5"/>
        <v>254483.285</v>
      </c>
      <c r="L96" s="16">
        <f t="shared" si="6"/>
        <v>254483.285</v>
      </c>
      <c r="M96" s="854"/>
      <c r="N96" s="854"/>
      <c r="O96" s="854"/>
      <c r="P96" s="99">
        <f t="shared" si="7"/>
        <v>254483.285</v>
      </c>
      <c r="Q96" s="853"/>
      <c r="R96" s="854"/>
      <c r="S96" s="855"/>
      <c r="T96" s="856"/>
      <c r="U96" s="854"/>
      <c r="V96" s="852"/>
    </row>
    <row r="97" spans="1:22" x14ac:dyDescent="0.3">
      <c r="A97" s="857"/>
      <c r="B97" s="858"/>
      <c r="C97" s="860"/>
      <c r="D97" s="455"/>
      <c r="E97" s="861"/>
      <c r="F97" s="861"/>
      <c r="G97" s="96">
        <v>1</v>
      </c>
      <c r="H97" s="15" t="s">
        <v>1905</v>
      </c>
      <c r="I97" s="8">
        <v>138166</v>
      </c>
      <c r="J97" s="97">
        <v>19</v>
      </c>
      <c r="K97" s="98">
        <f t="shared" si="5"/>
        <v>164417.54</v>
      </c>
      <c r="L97" s="16">
        <f t="shared" si="6"/>
        <v>164417.54</v>
      </c>
      <c r="M97" s="854"/>
      <c r="N97" s="854"/>
      <c r="O97" s="854"/>
      <c r="P97" s="99">
        <f t="shared" si="7"/>
        <v>164417.54</v>
      </c>
      <c r="Q97" s="853"/>
      <c r="R97" s="854"/>
      <c r="S97" s="855"/>
      <c r="T97" s="856"/>
      <c r="U97" s="854"/>
      <c r="V97" s="852"/>
    </row>
    <row r="98" spans="1:22" ht="17.399999999999999" customHeight="1" x14ac:dyDescent="0.3">
      <c r="A98" s="857">
        <f>A95+1</f>
        <v>41</v>
      </c>
      <c r="B98" s="858">
        <v>30103603</v>
      </c>
      <c r="C98" s="859" t="s">
        <v>1906</v>
      </c>
      <c r="D98" s="455" t="s">
        <v>1907</v>
      </c>
      <c r="E98" s="861" t="s">
        <v>1087</v>
      </c>
      <c r="F98" s="861" t="s">
        <v>1087</v>
      </c>
      <c r="G98" s="96">
        <v>1</v>
      </c>
      <c r="H98" s="15" t="s">
        <v>1880</v>
      </c>
      <c r="I98" s="8">
        <v>173611</v>
      </c>
      <c r="J98" s="97">
        <v>19</v>
      </c>
      <c r="K98" s="98">
        <f t="shared" si="5"/>
        <v>206597.09</v>
      </c>
      <c r="L98" s="16">
        <f t="shared" si="6"/>
        <v>206597.09</v>
      </c>
      <c r="M98" s="854">
        <f>IF(L99="","",AVERAGE(L99:L99))</f>
        <v>188815.51500000001</v>
      </c>
      <c r="N98" s="854">
        <f>IFERROR(HARMEAN(L99:L99),"")</f>
        <v>188815.51500000001</v>
      </c>
      <c r="O98" s="854">
        <f>IFERROR(MEDIAN(L99:L99),"")</f>
        <v>188815.51500000001</v>
      </c>
      <c r="P98" s="99">
        <f t="shared" si="7"/>
        <v>206597.09</v>
      </c>
      <c r="Q98" s="853">
        <f>IFERROR(SUM(P99:P99)/COUNTA(P99:P99),"")</f>
        <v>188815.51500000001</v>
      </c>
      <c r="R98" s="854" t="str">
        <f>IFERROR(_xlfn.STDEV.S(L99:L99),"")</f>
        <v/>
      </c>
      <c r="S98" s="855" t="str">
        <f>IFERROR(R98/M98,"")</f>
        <v/>
      </c>
      <c r="T98" s="856"/>
      <c r="U98" s="854">
        <f>M98</f>
        <v>188815.51500000001</v>
      </c>
      <c r="V98" s="852" t="s">
        <v>2000</v>
      </c>
    </row>
    <row r="99" spans="1:22" ht="21" customHeight="1" x14ac:dyDescent="0.3">
      <c r="A99" s="857"/>
      <c r="B99" s="858"/>
      <c r="C99" s="860"/>
      <c r="D99" s="455"/>
      <c r="E99" s="861"/>
      <c r="F99" s="861"/>
      <c r="G99" s="96">
        <v>1</v>
      </c>
      <c r="H99" s="15" t="s">
        <v>133</v>
      </c>
      <c r="I99" s="8">
        <v>158668.5</v>
      </c>
      <c r="J99" s="97">
        <v>19</v>
      </c>
      <c r="K99" s="98">
        <f t="shared" si="5"/>
        <v>188815.51500000001</v>
      </c>
      <c r="L99" s="16">
        <f t="shared" si="6"/>
        <v>188815.51500000001</v>
      </c>
      <c r="M99" s="854"/>
      <c r="N99" s="854"/>
      <c r="O99" s="854"/>
      <c r="P99" s="99">
        <f t="shared" si="7"/>
        <v>188815.51500000001</v>
      </c>
      <c r="Q99" s="853"/>
      <c r="R99" s="854"/>
      <c r="S99" s="855"/>
      <c r="T99" s="856"/>
      <c r="U99" s="854"/>
      <c r="V99" s="852"/>
    </row>
    <row r="100" spans="1:22" ht="16.95" customHeight="1" x14ac:dyDescent="0.3">
      <c r="A100" s="857">
        <f>A98+1</f>
        <v>42</v>
      </c>
      <c r="B100" s="858">
        <v>30103603</v>
      </c>
      <c r="C100" s="859" t="s">
        <v>1908</v>
      </c>
      <c r="D100" s="455" t="s">
        <v>1909</v>
      </c>
      <c r="E100" s="861" t="s">
        <v>1087</v>
      </c>
      <c r="F100" s="861" t="s">
        <v>1087</v>
      </c>
      <c r="G100" s="96">
        <v>1</v>
      </c>
      <c r="H100" s="15" t="s">
        <v>1880</v>
      </c>
      <c r="I100" s="8">
        <v>54905</v>
      </c>
      <c r="J100" s="97">
        <v>19</v>
      </c>
      <c r="K100" s="98">
        <f t="shared" si="5"/>
        <v>65336.95</v>
      </c>
      <c r="L100" s="16">
        <f t="shared" si="6"/>
        <v>65336.95</v>
      </c>
      <c r="M100" s="854">
        <f>IF(L101="","",AVERAGE(L101:L101))</f>
        <v>66164</v>
      </c>
      <c r="N100" s="854">
        <f>IFERROR(HARMEAN(L101:L101),"")</f>
        <v>66164</v>
      </c>
      <c r="O100" s="854">
        <f>IFERROR(MEDIAN(L101:L101),"")</f>
        <v>66164</v>
      </c>
      <c r="P100" s="99">
        <f t="shared" si="7"/>
        <v>65336.95</v>
      </c>
      <c r="Q100" s="853">
        <f>IFERROR(SUM(P101:P101)/COUNTA(P101:P101),"")</f>
        <v>66164</v>
      </c>
      <c r="R100" s="854" t="str">
        <f>IFERROR(_xlfn.STDEV.S(L101:L101),"")</f>
        <v/>
      </c>
      <c r="S100" s="855" t="str">
        <f>IFERROR(R100/M100,"")</f>
        <v/>
      </c>
      <c r="T100" s="856"/>
      <c r="U100" s="854">
        <f>M100</f>
        <v>66164</v>
      </c>
      <c r="V100" s="852" t="s">
        <v>2000</v>
      </c>
    </row>
    <row r="101" spans="1:22" ht="19.2" customHeight="1" x14ac:dyDescent="0.3">
      <c r="A101" s="857"/>
      <c r="B101" s="858"/>
      <c r="C101" s="860"/>
      <c r="D101" s="455"/>
      <c r="E101" s="861"/>
      <c r="F101" s="861"/>
      <c r="G101" s="96">
        <v>1</v>
      </c>
      <c r="H101" s="15" t="s">
        <v>1910</v>
      </c>
      <c r="I101" s="8">
        <v>55600</v>
      </c>
      <c r="J101" s="97">
        <v>19</v>
      </c>
      <c r="K101" s="98">
        <f t="shared" ref="K101:K121" si="8">(I101*0.19)+I101</f>
        <v>66164</v>
      </c>
      <c r="L101" s="16">
        <f t="shared" ref="L101:L121" si="9">IF(I101=0,"",(K101)*$G101)</f>
        <v>66164</v>
      </c>
      <c r="M101" s="854"/>
      <c r="N101" s="854"/>
      <c r="O101" s="854"/>
      <c r="P101" s="99">
        <f t="shared" si="7"/>
        <v>66164</v>
      </c>
      <c r="Q101" s="853"/>
      <c r="R101" s="854"/>
      <c r="S101" s="855"/>
      <c r="T101" s="856"/>
      <c r="U101" s="854"/>
      <c r="V101" s="852"/>
    </row>
    <row r="102" spans="1:22" ht="14.4" customHeight="1" x14ac:dyDescent="0.3">
      <c r="A102" s="857">
        <f>A100+1</f>
        <v>43</v>
      </c>
      <c r="B102" s="858">
        <v>30103603</v>
      </c>
      <c r="C102" s="859" t="s">
        <v>1911</v>
      </c>
      <c r="D102" s="455" t="s">
        <v>1912</v>
      </c>
      <c r="E102" s="861" t="s">
        <v>1087</v>
      </c>
      <c r="F102" s="861" t="s">
        <v>1087</v>
      </c>
      <c r="G102" s="96">
        <v>1</v>
      </c>
      <c r="H102" s="15" t="s">
        <v>1880</v>
      </c>
      <c r="I102" s="8">
        <v>42951</v>
      </c>
      <c r="J102" s="97">
        <v>19</v>
      </c>
      <c r="K102" s="98">
        <f t="shared" si="8"/>
        <v>51111.69</v>
      </c>
      <c r="L102" s="16">
        <f t="shared" si="9"/>
        <v>51111.69</v>
      </c>
      <c r="M102" s="854">
        <f>IF(L103="","",AVERAGE(L103:L104))</f>
        <v>76741.969500000007</v>
      </c>
      <c r="N102" s="854">
        <f>IFERROR(HARMEAN(L103:L104),"")</f>
        <v>70191.240603513317</v>
      </c>
      <c r="O102" s="854">
        <f>IFERROR(MEDIAN(L103:L104),"")</f>
        <v>76741.969500000007</v>
      </c>
      <c r="P102" s="99">
        <f t="shared" si="7"/>
        <v>51111.69</v>
      </c>
      <c r="Q102" s="853">
        <f>IFERROR(SUM(P103:P104)/COUNTA(P103:P104),"")</f>
        <v>76741.969500000007</v>
      </c>
      <c r="R102" s="854">
        <f>IFERROR(_xlfn.STDEV.S(L103:L104),"")</f>
        <v>31708.542608481665</v>
      </c>
      <c r="S102" s="855">
        <f>IFERROR(R102/M102,"")</f>
        <v>0.41318385252650652</v>
      </c>
      <c r="T102" s="856"/>
      <c r="U102" s="854">
        <f>M102</f>
        <v>76741.969500000007</v>
      </c>
      <c r="V102" s="852" t="s">
        <v>2000</v>
      </c>
    </row>
    <row r="103" spans="1:22" x14ac:dyDescent="0.3">
      <c r="A103" s="857"/>
      <c r="B103" s="858"/>
      <c r="C103" s="860"/>
      <c r="D103" s="455"/>
      <c r="E103" s="861"/>
      <c r="F103" s="861"/>
      <c r="G103" s="96">
        <v>1</v>
      </c>
      <c r="H103" s="15" t="s">
        <v>133</v>
      </c>
      <c r="I103" s="8">
        <v>83330.5</v>
      </c>
      <c r="J103" s="97">
        <v>19</v>
      </c>
      <c r="K103" s="98">
        <f t="shared" si="8"/>
        <v>99163.294999999998</v>
      </c>
      <c r="L103" s="16">
        <f t="shared" si="9"/>
        <v>99163.294999999998</v>
      </c>
      <c r="M103" s="854"/>
      <c r="N103" s="854"/>
      <c r="O103" s="854"/>
      <c r="P103" s="99">
        <f t="shared" si="7"/>
        <v>99163.294999999998</v>
      </c>
      <c r="Q103" s="853"/>
      <c r="R103" s="854"/>
      <c r="S103" s="855"/>
      <c r="T103" s="856"/>
      <c r="U103" s="854"/>
      <c r="V103" s="852"/>
    </row>
    <row r="104" spans="1:22" x14ac:dyDescent="0.3">
      <c r="A104" s="857"/>
      <c r="B104" s="858"/>
      <c r="C104" s="860"/>
      <c r="D104" s="455"/>
      <c r="E104" s="861"/>
      <c r="F104" s="861"/>
      <c r="G104" s="96">
        <v>1</v>
      </c>
      <c r="H104" s="15" t="s">
        <v>1913</v>
      </c>
      <c r="I104" s="8">
        <v>45647.6</v>
      </c>
      <c r="J104" s="97">
        <v>19</v>
      </c>
      <c r="K104" s="98">
        <f t="shared" si="8"/>
        <v>54320.644</v>
      </c>
      <c r="L104" s="16">
        <f t="shared" si="9"/>
        <v>54320.644</v>
      </c>
      <c r="M104" s="854"/>
      <c r="N104" s="854"/>
      <c r="O104" s="854"/>
      <c r="P104" s="99">
        <f t="shared" si="7"/>
        <v>54320.644</v>
      </c>
      <c r="Q104" s="853"/>
      <c r="R104" s="854"/>
      <c r="S104" s="855"/>
      <c r="T104" s="856"/>
      <c r="U104" s="854"/>
      <c r="V104" s="852"/>
    </row>
    <row r="105" spans="1:22" ht="14.4" customHeight="1" x14ac:dyDescent="0.3">
      <c r="A105" s="857">
        <v>44</v>
      </c>
      <c r="B105" s="858">
        <v>41111601</v>
      </c>
      <c r="C105" s="859" t="s">
        <v>1914</v>
      </c>
      <c r="D105" s="455" t="s">
        <v>1915</v>
      </c>
      <c r="E105" s="861" t="s">
        <v>1087</v>
      </c>
      <c r="F105" s="861" t="s">
        <v>1087</v>
      </c>
      <c r="G105" s="96">
        <v>1</v>
      </c>
      <c r="H105" s="15" t="s">
        <v>606</v>
      </c>
      <c r="I105" s="8">
        <v>37599.5</v>
      </c>
      <c r="J105" s="97">
        <v>19</v>
      </c>
      <c r="K105" s="98">
        <f t="shared" si="8"/>
        <v>44743.404999999999</v>
      </c>
      <c r="L105" s="16">
        <f t="shared" si="9"/>
        <v>44743.404999999999</v>
      </c>
      <c r="M105" s="854">
        <f>IF(L106="","",AVERAGE(L106:L107))</f>
        <v>28781.339999999997</v>
      </c>
      <c r="N105" s="854">
        <f>IFERROR(HARMEAN(L106:L107),"")</f>
        <v>28567.447758620689</v>
      </c>
      <c r="O105" s="854">
        <f>IFERROR(MEDIAN(L106:L107),"")</f>
        <v>28781.339999999997</v>
      </c>
      <c r="P105" s="99">
        <f t="shared" si="7"/>
        <v>44743.404999999999</v>
      </c>
      <c r="Q105" s="853">
        <f>IFERROR(SUM(P106:P107)/COUNTA(P106:P107),"")</f>
        <v>28781.339999999997</v>
      </c>
      <c r="R105" s="854">
        <f>IFERROR(_xlfn.STDEV.S(L106:L107),"")</f>
        <v>3508.8759802820041</v>
      </c>
      <c r="S105" s="855">
        <f>IFERROR(R105/M105,"")</f>
        <v>0.12191496227354266</v>
      </c>
      <c r="T105" s="856"/>
      <c r="U105" s="854">
        <f>M105</f>
        <v>28781.339999999997</v>
      </c>
      <c r="V105" s="852" t="s">
        <v>2000</v>
      </c>
    </row>
    <row r="106" spans="1:22" x14ac:dyDescent="0.3">
      <c r="A106" s="857"/>
      <c r="B106" s="858"/>
      <c r="C106" s="859"/>
      <c r="D106" s="455"/>
      <c r="E106" s="861"/>
      <c r="F106" s="861"/>
      <c r="G106" s="96">
        <v>1</v>
      </c>
      <c r="H106" s="15" t="s">
        <v>1916</v>
      </c>
      <c r="I106" s="8">
        <v>26271</v>
      </c>
      <c r="J106" s="97">
        <v>19</v>
      </c>
      <c r="K106" s="98">
        <f t="shared" si="8"/>
        <v>31262.489999999998</v>
      </c>
      <c r="L106" s="16">
        <f t="shared" si="9"/>
        <v>31262.489999999998</v>
      </c>
      <c r="M106" s="854"/>
      <c r="N106" s="854"/>
      <c r="O106" s="854"/>
      <c r="P106" s="99">
        <f t="shared" si="7"/>
        <v>31262.489999999998</v>
      </c>
      <c r="Q106" s="853"/>
      <c r="R106" s="854"/>
      <c r="S106" s="855"/>
      <c r="T106" s="856"/>
      <c r="U106" s="854"/>
      <c r="V106" s="852"/>
    </row>
    <row r="107" spans="1:22" x14ac:dyDescent="0.3">
      <c r="A107" s="857"/>
      <c r="B107" s="858"/>
      <c r="C107" s="859"/>
      <c r="D107" s="455"/>
      <c r="E107" s="861"/>
      <c r="F107" s="861"/>
      <c r="G107" s="96">
        <v>1</v>
      </c>
      <c r="H107" s="15" t="s">
        <v>1880</v>
      </c>
      <c r="I107" s="8">
        <v>22101</v>
      </c>
      <c r="J107" s="97">
        <v>19</v>
      </c>
      <c r="K107" s="98">
        <f t="shared" si="8"/>
        <v>26300.19</v>
      </c>
      <c r="L107" s="16">
        <f t="shared" si="9"/>
        <v>26300.19</v>
      </c>
      <c r="M107" s="854"/>
      <c r="N107" s="854"/>
      <c r="O107" s="854"/>
      <c r="P107" s="99">
        <f t="shared" si="7"/>
        <v>26300.19</v>
      </c>
      <c r="Q107" s="853"/>
      <c r="R107" s="854"/>
      <c r="S107" s="855"/>
      <c r="T107" s="856"/>
      <c r="U107" s="854"/>
      <c r="V107" s="852"/>
    </row>
    <row r="108" spans="1:22" ht="14.4" customHeight="1" x14ac:dyDescent="0.3">
      <c r="A108" s="857">
        <f>A105+1</f>
        <v>45</v>
      </c>
      <c r="B108" s="858">
        <v>27113201</v>
      </c>
      <c r="C108" s="859" t="s">
        <v>1917</v>
      </c>
      <c r="D108" s="455" t="s">
        <v>1918</v>
      </c>
      <c r="E108" s="861" t="s">
        <v>1087</v>
      </c>
      <c r="F108" s="861" t="s">
        <v>1919</v>
      </c>
      <c r="G108" s="96">
        <v>1</v>
      </c>
      <c r="H108" s="15" t="s">
        <v>1880</v>
      </c>
      <c r="I108" s="8">
        <v>180561</v>
      </c>
      <c r="J108" s="97">
        <v>19</v>
      </c>
      <c r="K108" s="98">
        <f t="shared" si="8"/>
        <v>214867.59</v>
      </c>
      <c r="L108" s="16">
        <f t="shared" si="9"/>
        <v>214867.59</v>
      </c>
      <c r="M108" s="854">
        <f>IF(L109="","",AVERAGE(L109:L110))</f>
        <v>116324.58249999999</v>
      </c>
      <c r="N108" s="854">
        <f>IFERROR(HARMEAN(L109:L110),"")</f>
        <v>100332.66078919303</v>
      </c>
      <c r="O108" s="854">
        <f>IFERROR(MEDIAN(L109:L110),"")</f>
        <v>116324.58249999999</v>
      </c>
      <c r="P108" s="99">
        <f t="shared" si="7"/>
        <v>214867.59</v>
      </c>
      <c r="Q108" s="853">
        <f>IFERROR(SUM(P109:P110)/COUNTA(P109:P110),"")</f>
        <v>116324.58249999999</v>
      </c>
      <c r="R108" s="854">
        <f>IFERROR(_xlfn.STDEV.S(L109:L110),"")</f>
        <v>60995.960790568861</v>
      </c>
      <c r="S108" s="855">
        <f>IFERROR(R108/M108,"")</f>
        <v>0.52436002330435072</v>
      </c>
      <c r="T108" s="856"/>
      <c r="U108" s="854">
        <f>M108</f>
        <v>116324.58249999999</v>
      </c>
      <c r="V108" s="852" t="s">
        <v>2000</v>
      </c>
    </row>
    <row r="109" spans="1:22" x14ac:dyDescent="0.3">
      <c r="A109" s="857"/>
      <c r="B109" s="858"/>
      <c r="C109" s="860"/>
      <c r="D109" s="455"/>
      <c r="E109" s="861"/>
      <c r="F109" s="861"/>
      <c r="G109" s="96">
        <v>1</v>
      </c>
      <c r="H109" s="15" t="s">
        <v>603</v>
      </c>
      <c r="I109" s="8">
        <v>61507.5</v>
      </c>
      <c r="J109" s="97">
        <v>19</v>
      </c>
      <c r="K109" s="98">
        <f t="shared" si="8"/>
        <v>73193.925000000003</v>
      </c>
      <c r="L109" s="16">
        <f t="shared" si="9"/>
        <v>73193.925000000003</v>
      </c>
      <c r="M109" s="854"/>
      <c r="N109" s="854"/>
      <c r="O109" s="854"/>
      <c r="P109" s="99">
        <f t="shared" si="7"/>
        <v>73193.925000000003</v>
      </c>
      <c r="Q109" s="853"/>
      <c r="R109" s="854"/>
      <c r="S109" s="855"/>
      <c r="T109" s="856"/>
      <c r="U109" s="854"/>
      <c r="V109" s="852"/>
    </row>
    <row r="110" spans="1:22" x14ac:dyDescent="0.3">
      <c r="A110" s="857"/>
      <c r="B110" s="858"/>
      <c r="C110" s="860"/>
      <c r="D110" s="455"/>
      <c r="E110" s="861"/>
      <c r="F110" s="861"/>
      <c r="G110" s="96">
        <v>1</v>
      </c>
      <c r="H110" s="15" t="s">
        <v>1920</v>
      </c>
      <c r="I110" s="8">
        <v>133996</v>
      </c>
      <c r="J110" s="97">
        <v>19</v>
      </c>
      <c r="K110" s="98">
        <f t="shared" si="8"/>
        <v>159455.24</v>
      </c>
      <c r="L110" s="16">
        <f t="shared" si="9"/>
        <v>159455.24</v>
      </c>
      <c r="M110" s="854"/>
      <c r="N110" s="854"/>
      <c r="O110" s="854"/>
      <c r="P110" s="99">
        <f t="shared" si="7"/>
        <v>159455.24</v>
      </c>
      <c r="Q110" s="853"/>
      <c r="R110" s="854"/>
      <c r="S110" s="855"/>
      <c r="T110" s="856"/>
      <c r="U110" s="854"/>
      <c r="V110" s="852"/>
    </row>
    <row r="111" spans="1:22" ht="14.4" customHeight="1" x14ac:dyDescent="0.3">
      <c r="A111" s="857">
        <f>A108+1</f>
        <v>46</v>
      </c>
      <c r="B111" s="455" t="s">
        <v>1999</v>
      </c>
      <c r="C111" s="859" t="s">
        <v>1921</v>
      </c>
      <c r="D111" s="455" t="s">
        <v>1922</v>
      </c>
      <c r="E111" s="861" t="s">
        <v>1087</v>
      </c>
      <c r="F111" s="861" t="s">
        <v>1919</v>
      </c>
      <c r="G111" s="96">
        <v>1</v>
      </c>
      <c r="H111" s="15" t="s">
        <v>603</v>
      </c>
      <c r="I111" s="8">
        <v>31796.25</v>
      </c>
      <c r="J111" s="97">
        <v>19</v>
      </c>
      <c r="K111" s="98">
        <f t="shared" si="8"/>
        <v>37837.537499999999</v>
      </c>
      <c r="L111" s="16">
        <f t="shared" si="9"/>
        <v>37837.537499999999</v>
      </c>
      <c r="M111" s="854">
        <f>IF(L112="","",AVERAGE(L112:L113))</f>
        <v>51518.598599999998</v>
      </c>
      <c r="N111" s="854">
        <f>IFERROR(HARMEAN(L112:L113),"")</f>
        <v>51115.800554806403</v>
      </c>
      <c r="O111" s="854">
        <f>IFERROR(MEDIAN(L112:L113),"")</f>
        <v>51518.598599999998</v>
      </c>
      <c r="P111" s="99">
        <f t="shared" si="7"/>
        <v>37837.537499999999</v>
      </c>
      <c r="Q111" s="853">
        <f>IFERROR(SUM(P112:P113)/COUNTA(P112:P113),"")</f>
        <v>51518.598599999998</v>
      </c>
      <c r="R111" s="854">
        <f>IFERROR(_xlfn.STDEV.S(L112:L113),"")</f>
        <v>6442.2962997977565</v>
      </c>
      <c r="S111" s="855">
        <f>IFERROR(R111/M111,"")</f>
        <v>0.12504797247722024</v>
      </c>
      <c r="T111" s="856"/>
      <c r="U111" s="854">
        <f>M111</f>
        <v>51518.598599999998</v>
      </c>
      <c r="V111" s="852" t="s">
        <v>2000</v>
      </c>
    </row>
    <row r="112" spans="1:22" x14ac:dyDescent="0.3">
      <c r="A112" s="857"/>
      <c r="B112" s="858"/>
      <c r="C112" s="860"/>
      <c r="D112" s="455"/>
      <c r="E112" s="861"/>
      <c r="F112" s="861"/>
      <c r="G112" s="96">
        <v>1</v>
      </c>
      <c r="H112" s="15" t="s">
        <v>1880</v>
      </c>
      <c r="I112" s="8">
        <v>47121</v>
      </c>
      <c r="J112" s="97">
        <v>19</v>
      </c>
      <c r="K112" s="98">
        <f t="shared" si="8"/>
        <v>56073.99</v>
      </c>
      <c r="L112" s="16">
        <f t="shared" si="9"/>
        <v>56073.99</v>
      </c>
      <c r="M112" s="854"/>
      <c r="N112" s="854"/>
      <c r="O112" s="854"/>
      <c r="P112" s="99">
        <f t="shared" si="7"/>
        <v>56073.99</v>
      </c>
      <c r="Q112" s="853"/>
      <c r="R112" s="854"/>
      <c r="S112" s="855"/>
      <c r="T112" s="856"/>
      <c r="U112" s="854"/>
      <c r="V112" s="852"/>
    </row>
    <row r="113" spans="1:22" x14ac:dyDescent="0.3">
      <c r="A113" s="857"/>
      <c r="B113" s="858"/>
      <c r="C113" s="860"/>
      <c r="D113" s="455"/>
      <c r="E113" s="861"/>
      <c r="F113" s="861"/>
      <c r="G113" s="96">
        <v>1</v>
      </c>
      <c r="H113" s="15" t="s">
        <v>1923</v>
      </c>
      <c r="I113" s="8">
        <v>39464.880000000005</v>
      </c>
      <c r="J113" s="97">
        <v>19</v>
      </c>
      <c r="K113" s="98">
        <f t="shared" si="8"/>
        <v>46963.207200000004</v>
      </c>
      <c r="L113" s="16">
        <f t="shared" si="9"/>
        <v>46963.207200000004</v>
      </c>
      <c r="M113" s="854"/>
      <c r="N113" s="854"/>
      <c r="O113" s="854"/>
      <c r="P113" s="99">
        <f t="shared" si="7"/>
        <v>46963.207200000004</v>
      </c>
      <c r="Q113" s="853"/>
      <c r="R113" s="854"/>
      <c r="S113" s="855"/>
      <c r="T113" s="856"/>
      <c r="U113" s="854"/>
      <c r="V113" s="852"/>
    </row>
    <row r="114" spans="1:22" ht="20.399999999999999" customHeight="1" x14ac:dyDescent="0.3">
      <c r="A114" s="857">
        <f>A111+1</f>
        <v>47</v>
      </c>
      <c r="B114" s="858">
        <v>31201610</v>
      </c>
      <c r="C114" s="859" t="s">
        <v>1924</v>
      </c>
      <c r="D114" s="455" t="s">
        <v>1925</v>
      </c>
      <c r="E114" s="861" t="s">
        <v>1087</v>
      </c>
      <c r="F114" s="861" t="s">
        <v>1919</v>
      </c>
      <c r="G114" s="96">
        <v>1</v>
      </c>
      <c r="H114" s="15" t="s">
        <v>1880</v>
      </c>
      <c r="I114" s="8">
        <v>86041</v>
      </c>
      <c r="J114" s="97">
        <v>19</v>
      </c>
      <c r="K114" s="98">
        <f t="shared" si="8"/>
        <v>102388.79000000001</v>
      </c>
      <c r="L114" s="16">
        <f t="shared" si="9"/>
        <v>102388.79000000001</v>
      </c>
      <c r="M114" s="854">
        <f>IF(L115="","",AVERAGE(L115:L115))</f>
        <v>34239.870000000003</v>
      </c>
      <c r="N114" s="854">
        <f>IFERROR(HARMEAN(L115:L115),"")</f>
        <v>34239.870000000003</v>
      </c>
      <c r="O114" s="854">
        <f>IFERROR(MEDIAN(L115:L115),"")</f>
        <v>34239.870000000003</v>
      </c>
      <c r="P114" s="99">
        <f t="shared" si="7"/>
        <v>102388.79000000001</v>
      </c>
      <c r="Q114" s="853">
        <f>IFERROR(SUM(P115:P115)/COUNTA(P115:P115),"")</f>
        <v>34239.870000000003</v>
      </c>
      <c r="R114" s="854" t="str">
        <f>IFERROR(_xlfn.STDEV.S(L115:L115),"")</f>
        <v/>
      </c>
      <c r="S114" s="855" t="str">
        <f>IFERROR(R114/M114,"")</f>
        <v/>
      </c>
      <c r="T114" s="856"/>
      <c r="U114" s="854">
        <f>M114</f>
        <v>34239.870000000003</v>
      </c>
      <c r="V114" s="852" t="s">
        <v>2000</v>
      </c>
    </row>
    <row r="115" spans="1:22" ht="17.399999999999999" customHeight="1" x14ac:dyDescent="0.3">
      <c r="A115" s="857"/>
      <c r="B115" s="858"/>
      <c r="C115" s="860"/>
      <c r="D115" s="455"/>
      <c r="E115" s="861"/>
      <c r="F115" s="861"/>
      <c r="G115" s="96">
        <v>1</v>
      </c>
      <c r="H115" s="15" t="s">
        <v>1926</v>
      </c>
      <c r="I115" s="8">
        <v>28773</v>
      </c>
      <c r="J115" s="97">
        <v>19</v>
      </c>
      <c r="K115" s="98">
        <f t="shared" si="8"/>
        <v>34239.870000000003</v>
      </c>
      <c r="L115" s="16">
        <f t="shared" si="9"/>
        <v>34239.870000000003</v>
      </c>
      <c r="M115" s="854"/>
      <c r="N115" s="854"/>
      <c r="O115" s="854"/>
      <c r="P115" s="99">
        <f t="shared" si="7"/>
        <v>34239.870000000003</v>
      </c>
      <c r="Q115" s="853"/>
      <c r="R115" s="854"/>
      <c r="S115" s="855"/>
      <c r="T115" s="856"/>
      <c r="U115" s="854"/>
      <c r="V115" s="852"/>
    </row>
    <row r="116" spans="1:22" ht="19.95" customHeight="1" x14ac:dyDescent="0.3">
      <c r="A116" s="857">
        <f>A114+1</f>
        <v>48</v>
      </c>
      <c r="B116" s="858">
        <v>27111801</v>
      </c>
      <c r="C116" s="859" t="s">
        <v>1927</v>
      </c>
      <c r="D116" s="455" t="s">
        <v>1928</v>
      </c>
      <c r="E116" s="861" t="s">
        <v>1087</v>
      </c>
      <c r="F116" s="861" t="s">
        <v>1919</v>
      </c>
      <c r="G116" s="96">
        <v>1</v>
      </c>
      <c r="H116" s="15" t="s">
        <v>1931</v>
      </c>
      <c r="I116" s="8">
        <v>61716</v>
      </c>
      <c r="J116" s="97">
        <v>19</v>
      </c>
      <c r="K116" s="98">
        <f t="shared" si="8"/>
        <v>73442.040000000008</v>
      </c>
      <c r="L116" s="16">
        <f t="shared" si="9"/>
        <v>73442.040000000008</v>
      </c>
      <c r="M116" s="854">
        <f>IF(L117="","",AVERAGE(L117:L117))</f>
        <v>78735.16</v>
      </c>
      <c r="N116" s="854">
        <f>IFERROR(HARMEAN(L117:L117),"")</f>
        <v>78735.16</v>
      </c>
      <c r="O116" s="854">
        <f>IFERROR(MEDIAN(L117:L117),"")</f>
        <v>78735.16</v>
      </c>
      <c r="P116" s="99">
        <f t="shared" si="7"/>
        <v>73442.040000000008</v>
      </c>
      <c r="Q116" s="853">
        <f>IFERROR(SUM(P117:P117)/COUNTA(P117:P117),"")</f>
        <v>78735.16</v>
      </c>
      <c r="R116" s="854" t="str">
        <f>IFERROR(_xlfn.STDEV.S(L117:L117),"")</f>
        <v/>
      </c>
      <c r="S116" s="855" t="str">
        <f>IFERROR(R116/M116,"")</f>
        <v/>
      </c>
      <c r="T116" s="856"/>
      <c r="U116" s="854">
        <f t="shared" ref="U116" si="10">M116</f>
        <v>78735.16</v>
      </c>
      <c r="V116" s="852" t="s">
        <v>2000</v>
      </c>
    </row>
    <row r="117" spans="1:22" ht="15" customHeight="1" x14ac:dyDescent="0.3">
      <c r="A117" s="857"/>
      <c r="B117" s="858"/>
      <c r="C117" s="860"/>
      <c r="D117" s="455"/>
      <c r="E117" s="861"/>
      <c r="F117" s="861"/>
      <c r="G117" s="96">
        <v>1</v>
      </c>
      <c r="H117" s="15" t="s">
        <v>1929</v>
      </c>
      <c r="I117" s="8">
        <v>66164</v>
      </c>
      <c r="J117" s="97">
        <v>19</v>
      </c>
      <c r="K117" s="98">
        <f t="shared" si="8"/>
        <v>78735.16</v>
      </c>
      <c r="L117" s="16">
        <f t="shared" si="9"/>
        <v>78735.16</v>
      </c>
      <c r="M117" s="854"/>
      <c r="N117" s="854"/>
      <c r="O117" s="854"/>
      <c r="P117" s="99">
        <f t="shared" si="7"/>
        <v>78735.16</v>
      </c>
      <c r="Q117" s="853"/>
      <c r="R117" s="854"/>
      <c r="S117" s="855"/>
      <c r="T117" s="856"/>
      <c r="U117" s="854"/>
      <c r="V117" s="852"/>
    </row>
    <row r="118" spans="1:22" ht="21" customHeight="1" x14ac:dyDescent="0.3">
      <c r="A118" s="857">
        <f>A116+1</f>
        <v>49</v>
      </c>
      <c r="B118" s="858">
        <v>27112100</v>
      </c>
      <c r="C118" s="860" t="s">
        <v>1930</v>
      </c>
      <c r="D118" s="455" t="s">
        <v>1900</v>
      </c>
      <c r="E118" s="861" t="s">
        <v>1087</v>
      </c>
      <c r="F118" s="861" t="s">
        <v>1087</v>
      </c>
      <c r="G118" s="96">
        <v>1</v>
      </c>
      <c r="H118" s="15" t="s">
        <v>1880</v>
      </c>
      <c r="I118" s="8">
        <v>126351</v>
      </c>
      <c r="J118" s="97">
        <v>19</v>
      </c>
      <c r="K118" s="98">
        <f t="shared" si="8"/>
        <v>150357.69</v>
      </c>
      <c r="L118" s="16">
        <f t="shared" si="9"/>
        <v>150357.69</v>
      </c>
      <c r="M118" s="854">
        <f>IF(L119="","",AVERAGE(L119:L119))</f>
        <v>246295.49</v>
      </c>
      <c r="N118" s="854">
        <f>IFERROR(HARMEAN(L119:L119),"")</f>
        <v>246295.48999999996</v>
      </c>
      <c r="O118" s="854">
        <f>IFERROR(MEDIAN(L119:L119),"")</f>
        <v>246295.49</v>
      </c>
      <c r="P118" s="99">
        <f t="shared" si="7"/>
        <v>150357.69</v>
      </c>
      <c r="Q118" s="853">
        <f>IFERROR(SUM(P119:P119)/COUNTA(P119:P119),"")</f>
        <v>246295.49</v>
      </c>
      <c r="R118" s="854" t="str">
        <f>IFERROR(_xlfn.STDEV.S(L119:L119),"")</f>
        <v/>
      </c>
      <c r="S118" s="855" t="str">
        <f>IFERROR(R118/M118,"")</f>
        <v/>
      </c>
      <c r="T118" s="856"/>
      <c r="U118" s="854">
        <f t="shared" ref="U118" si="11">M118</f>
        <v>246295.49</v>
      </c>
      <c r="V118" s="852" t="s">
        <v>2000</v>
      </c>
    </row>
    <row r="119" spans="1:22" ht="17.399999999999999" customHeight="1" x14ac:dyDescent="0.3">
      <c r="A119" s="857"/>
      <c r="B119" s="858"/>
      <c r="C119" s="860"/>
      <c r="D119" s="455"/>
      <c r="E119" s="861"/>
      <c r="F119" s="861"/>
      <c r="G119" s="96">
        <v>1</v>
      </c>
      <c r="H119" s="15" t="s">
        <v>1931</v>
      </c>
      <c r="I119" s="8">
        <v>206971</v>
      </c>
      <c r="J119" s="97">
        <v>19</v>
      </c>
      <c r="K119" s="98">
        <f t="shared" si="8"/>
        <v>246295.49</v>
      </c>
      <c r="L119" s="16">
        <f t="shared" si="9"/>
        <v>246295.49</v>
      </c>
      <c r="M119" s="854"/>
      <c r="N119" s="854"/>
      <c r="O119" s="854"/>
      <c r="P119" s="99">
        <f t="shared" si="7"/>
        <v>246295.49</v>
      </c>
      <c r="Q119" s="853"/>
      <c r="R119" s="854"/>
      <c r="S119" s="855"/>
      <c r="T119" s="856"/>
      <c r="U119" s="854"/>
      <c r="V119" s="852"/>
    </row>
    <row r="120" spans="1:22" ht="23.4" customHeight="1" x14ac:dyDescent="0.3">
      <c r="A120" s="857">
        <f>A118+1</f>
        <v>50</v>
      </c>
      <c r="B120" s="858">
        <v>27112100</v>
      </c>
      <c r="C120" s="859" t="s">
        <v>1932</v>
      </c>
      <c r="D120" s="455" t="s">
        <v>1902</v>
      </c>
      <c r="E120" s="861" t="s">
        <v>1087</v>
      </c>
      <c r="F120" s="861" t="s">
        <v>1087</v>
      </c>
      <c r="G120" s="96">
        <v>1</v>
      </c>
      <c r="H120" s="15" t="s">
        <v>603</v>
      </c>
      <c r="I120" s="8">
        <v>40136.25</v>
      </c>
      <c r="J120" s="97">
        <v>19</v>
      </c>
      <c r="K120" s="98">
        <f t="shared" si="8"/>
        <v>47762.137499999997</v>
      </c>
      <c r="L120" s="16">
        <f t="shared" si="9"/>
        <v>47762.137499999997</v>
      </c>
      <c r="M120" s="854">
        <f>IF(L121="","",AVERAGE(L121:L121))</f>
        <v>58141.614999999998</v>
      </c>
      <c r="N120" s="854">
        <f>IFERROR(HARMEAN(L121:L121),"")</f>
        <v>58141.614999999998</v>
      </c>
      <c r="O120" s="854">
        <f>IFERROR(MEDIAN(L121:L121),"")</f>
        <v>58141.614999999998</v>
      </c>
      <c r="P120" s="99">
        <f t="shared" si="7"/>
        <v>47762.137499999997</v>
      </c>
      <c r="Q120" s="853">
        <f>IFERROR(SUM(P121:P121)/COUNTA(P121:P121),"")</f>
        <v>58141.614999999998</v>
      </c>
      <c r="R120" s="854" t="str">
        <f>IFERROR(_xlfn.STDEV.S(L121:L121),"")</f>
        <v/>
      </c>
      <c r="S120" s="855" t="str">
        <f>IFERROR(R120/M120,"")</f>
        <v/>
      </c>
      <c r="T120" s="856"/>
      <c r="U120" s="854">
        <f t="shared" ref="U120" si="12">M120</f>
        <v>58141.614999999998</v>
      </c>
      <c r="V120" s="852" t="s">
        <v>2000</v>
      </c>
    </row>
    <row r="121" spans="1:22" ht="17.399999999999999" customHeight="1" x14ac:dyDescent="0.3">
      <c r="A121" s="857"/>
      <c r="B121" s="858"/>
      <c r="C121" s="860"/>
      <c r="D121" s="455"/>
      <c r="E121" s="861"/>
      <c r="F121" s="861"/>
      <c r="G121" s="96">
        <v>1</v>
      </c>
      <c r="H121" s="15" t="s">
        <v>578</v>
      </c>
      <c r="I121" s="8">
        <v>48858.5</v>
      </c>
      <c r="J121" s="97">
        <v>19</v>
      </c>
      <c r="K121" s="98">
        <f t="shared" si="8"/>
        <v>58141.614999999998</v>
      </c>
      <c r="L121" s="16">
        <f t="shared" si="9"/>
        <v>58141.614999999998</v>
      </c>
      <c r="M121" s="854"/>
      <c r="N121" s="854"/>
      <c r="O121" s="854"/>
      <c r="P121" s="99">
        <f t="shared" si="7"/>
        <v>58141.614999999998</v>
      </c>
      <c r="Q121" s="853"/>
      <c r="R121" s="854"/>
      <c r="S121" s="855"/>
      <c r="T121" s="856"/>
      <c r="U121" s="854"/>
      <c r="V121" s="852"/>
    </row>
    <row r="123" spans="1:22" x14ac:dyDescent="0.3">
      <c r="U123" s="209">
        <f>SUM(U5:U122)</f>
        <v>3040361.4743827507</v>
      </c>
    </row>
  </sheetData>
  <mergeCells count="775">
    <mergeCell ref="A1:G2"/>
    <mergeCell ref="H1:L2"/>
    <mergeCell ref="M1:V2"/>
    <mergeCell ref="A3:A4"/>
    <mergeCell ref="B3:B4"/>
    <mergeCell ref="C3:C4"/>
    <mergeCell ref="D3:D4"/>
    <mergeCell ref="E3:E4"/>
    <mergeCell ref="F3:F4"/>
    <mergeCell ref="G3:G4"/>
    <mergeCell ref="T3:T4"/>
    <mergeCell ref="U3:U4"/>
    <mergeCell ref="V3:V4"/>
    <mergeCell ref="P3:P4"/>
    <mergeCell ref="Q3:Q4"/>
    <mergeCell ref="R3:R4"/>
    <mergeCell ref="S3:S4"/>
    <mergeCell ref="D5:D6"/>
    <mergeCell ref="E5:E6"/>
    <mergeCell ref="F5:F6"/>
    <mergeCell ref="M5:M6"/>
    <mergeCell ref="N3:N4"/>
    <mergeCell ref="O3:O4"/>
    <mergeCell ref="H3:H4"/>
    <mergeCell ref="I3:I4"/>
    <mergeCell ref="J3:J4"/>
    <mergeCell ref="K3:K4"/>
    <mergeCell ref="L3:L4"/>
    <mergeCell ref="M3:M4"/>
    <mergeCell ref="U5:U6"/>
    <mergeCell ref="A7:A8"/>
    <mergeCell ref="B7:B8"/>
    <mergeCell ref="C7:C8"/>
    <mergeCell ref="D7:D8"/>
    <mergeCell ref="E7:E8"/>
    <mergeCell ref="F7:F8"/>
    <mergeCell ref="M7:M8"/>
    <mergeCell ref="N7:N8"/>
    <mergeCell ref="O7:O8"/>
    <mergeCell ref="N5:N6"/>
    <mergeCell ref="O5:O6"/>
    <mergeCell ref="Q5:Q6"/>
    <mergeCell ref="R5:R6"/>
    <mergeCell ref="S5:S6"/>
    <mergeCell ref="T5:T6"/>
    <mergeCell ref="Q7:Q8"/>
    <mergeCell ref="R7:R8"/>
    <mergeCell ref="S7:S8"/>
    <mergeCell ref="T7:T8"/>
    <mergeCell ref="U7:U8"/>
    <mergeCell ref="A5:A6"/>
    <mergeCell ref="B5:B6"/>
    <mergeCell ref="C5:C6"/>
    <mergeCell ref="A9:A10"/>
    <mergeCell ref="B9:B10"/>
    <mergeCell ref="C9:C10"/>
    <mergeCell ref="D9:D10"/>
    <mergeCell ref="E9:E10"/>
    <mergeCell ref="S9:S10"/>
    <mergeCell ref="T9:T10"/>
    <mergeCell ref="U9:U10"/>
    <mergeCell ref="A11:A12"/>
    <mergeCell ref="B11:B12"/>
    <mergeCell ref="C11:C12"/>
    <mergeCell ref="D11:D12"/>
    <mergeCell ref="E11:E12"/>
    <mergeCell ref="F11:F12"/>
    <mergeCell ref="M11:M12"/>
    <mergeCell ref="F9:F10"/>
    <mergeCell ref="M9:M10"/>
    <mergeCell ref="N9:N10"/>
    <mergeCell ref="O9:O10"/>
    <mergeCell ref="Q9:Q10"/>
    <mergeCell ref="R9:R10"/>
    <mergeCell ref="U11:U12"/>
    <mergeCell ref="N11:N12"/>
    <mergeCell ref="O11:O12"/>
    <mergeCell ref="A13:A14"/>
    <mergeCell ref="B13:B14"/>
    <mergeCell ref="C13:C14"/>
    <mergeCell ref="D13:D14"/>
    <mergeCell ref="E13:E14"/>
    <mergeCell ref="F13:F14"/>
    <mergeCell ref="M13:M14"/>
    <mergeCell ref="N13:N14"/>
    <mergeCell ref="O13:O14"/>
    <mergeCell ref="Q11:Q12"/>
    <mergeCell ref="R11:R12"/>
    <mergeCell ref="S11:S12"/>
    <mergeCell ref="T11:T12"/>
    <mergeCell ref="Q13:Q14"/>
    <mergeCell ref="R13:R14"/>
    <mergeCell ref="S13:S14"/>
    <mergeCell ref="T13:T14"/>
    <mergeCell ref="U13:U14"/>
    <mergeCell ref="A15:A16"/>
    <mergeCell ref="B15:B16"/>
    <mergeCell ref="C15:C16"/>
    <mergeCell ref="D15:D16"/>
    <mergeCell ref="E15:E16"/>
    <mergeCell ref="S15:S16"/>
    <mergeCell ref="T15:T16"/>
    <mergeCell ref="U15:U16"/>
    <mergeCell ref="A17:A18"/>
    <mergeCell ref="B17:B18"/>
    <mergeCell ref="C17:C18"/>
    <mergeCell ref="D17:D18"/>
    <mergeCell ref="E17:E18"/>
    <mergeCell ref="F17:F18"/>
    <mergeCell ref="M17:M18"/>
    <mergeCell ref="F15:F16"/>
    <mergeCell ref="M15:M16"/>
    <mergeCell ref="N15:N16"/>
    <mergeCell ref="O15:O16"/>
    <mergeCell ref="Q15:Q16"/>
    <mergeCell ref="R15:R16"/>
    <mergeCell ref="U17:U18"/>
    <mergeCell ref="N17:N18"/>
    <mergeCell ref="O17:O18"/>
    <mergeCell ref="A19:A20"/>
    <mergeCell ref="B19:B20"/>
    <mergeCell ref="C19:C20"/>
    <mergeCell ref="D19:D20"/>
    <mergeCell ref="E19:E20"/>
    <mergeCell ref="F19:F20"/>
    <mergeCell ref="M19:M20"/>
    <mergeCell ref="N19:N20"/>
    <mergeCell ref="O19:O20"/>
    <mergeCell ref="Q17:Q18"/>
    <mergeCell ref="R17:R18"/>
    <mergeCell ref="S17:S18"/>
    <mergeCell ref="T17:T18"/>
    <mergeCell ref="Q19:Q20"/>
    <mergeCell ref="R19:R20"/>
    <mergeCell ref="S19:S20"/>
    <mergeCell ref="T19:T20"/>
    <mergeCell ref="U19:U20"/>
    <mergeCell ref="A21:A22"/>
    <mergeCell ref="B21:B22"/>
    <mergeCell ref="C21:C22"/>
    <mergeCell ref="D21:D22"/>
    <mergeCell ref="E21:E22"/>
    <mergeCell ref="S21:S22"/>
    <mergeCell ref="T21:T22"/>
    <mergeCell ref="U21:U22"/>
    <mergeCell ref="A23:A24"/>
    <mergeCell ref="B23:B24"/>
    <mergeCell ref="C23:C24"/>
    <mergeCell ref="D23:D24"/>
    <mergeCell ref="E23:E24"/>
    <mergeCell ref="F23:F24"/>
    <mergeCell ref="M23:M24"/>
    <mergeCell ref="F21:F22"/>
    <mergeCell ref="M21:M22"/>
    <mergeCell ref="N21:N22"/>
    <mergeCell ref="O21:O22"/>
    <mergeCell ref="Q21:Q22"/>
    <mergeCell ref="R21:R22"/>
    <mergeCell ref="U23:U24"/>
    <mergeCell ref="N23:N24"/>
    <mergeCell ref="O23:O24"/>
    <mergeCell ref="A25:A26"/>
    <mergeCell ref="B25:B26"/>
    <mergeCell ref="C25:C26"/>
    <mergeCell ref="D25:D26"/>
    <mergeCell ref="E25:E26"/>
    <mergeCell ref="F25:F26"/>
    <mergeCell ref="M25:M26"/>
    <mergeCell ref="N25:N26"/>
    <mergeCell ref="O25:O26"/>
    <mergeCell ref="Q23:Q24"/>
    <mergeCell ref="R23:R24"/>
    <mergeCell ref="S23:S24"/>
    <mergeCell ref="T23:T24"/>
    <mergeCell ref="Q25:Q26"/>
    <mergeCell ref="R25:R26"/>
    <mergeCell ref="S25:S26"/>
    <mergeCell ref="T25:T26"/>
    <mergeCell ref="U25:U26"/>
    <mergeCell ref="A27:A28"/>
    <mergeCell ref="B27:B28"/>
    <mergeCell ref="C27:C28"/>
    <mergeCell ref="D27:D28"/>
    <mergeCell ref="E27:E28"/>
    <mergeCell ref="S27:S28"/>
    <mergeCell ref="T27:T28"/>
    <mergeCell ref="U27:U28"/>
    <mergeCell ref="A29:A30"/>
    <mergeCell ref="B29:B30"/>
    <mergeCell ref="C29:C30"/>
    <mergeCell ref="D29:D30"/>
    <mergeCell ref="E29:E30"/>
    <mergeCell ref="F29:F30"/>
    <mergeCell ref="M29:M30"/>
    <mergeCell ref="F27:F28"/>
    <mergeCell ref="M27:M28"/>
    <mergeCell ref="N27:N28"/>
    <mergeCell ref="O27:O28"/>
    <mergeCell ref="Q27:Q28"/>
    <mergeCell ref="R27:R28"/>
    <mergeCell ref="U29:U30"/>
    <mergeCell ref="N29:N30"/>
    <mergeCell ref="O29:O30"/>
    <mergeCell ref="A31:A32"/>
    <mergeCell ref="B31:B32"/>
    <mergeCell ref="C31:C32"/>
    <mergeCell ref="D31:D32"/>
    <mergeCell ref="E31:E32"/>
    <mergeCell ref="F31:F32"/>
    <mergeCell ref="M31:M32"/>
    <mergeCell ref="N31:N32"/>
    <mergeCell ref="O31:O32"/>
    <mergeCell ref="Q29:Q30"/>
    <mergeCell ref="R29:R30"/>
    <mergeCell ref="S29:S30"/>
    <mergeCell ref="T29:T30"/>
    <mergeCell ref="Q31:Q32"/>
    <mergeCell ref="R31:R32"/>
    <mergeCell ref="S31:S32"/>
    <mergeCell ref="T31:T32"/>
    <mergeCell ref="U31:U32"/>
    <mergeCell ref="A33:A34"/>
    <mergeCell ref="B33:B34"/>
    <mergeCell ref="C33:C34"/>
    <mergeCell ref="D33:D34"/>
    <mergeCell ref="E33:E34"/>
    <mergeCell ref="S33:S34"/>
    <mergeCell ref="T33:T34"/>
    <mergeCell ref="U33:U34"/>
    <mergeCell ref="A35:A36"/>
    <mergeCell ref="B35:B36"/>
    <mergeCell ref="C35:C36"/>
    <mergeCell ref="D35:D36"/>
    <mergeCell ref="E35:E36"/>
    <mergeCell ref="F35:F36"/>
    <mergeCell ref="M35:M36"/>
    <mergeCell ref="F33:F34"/>
    <mergeCell ref="M33:M34"/>
    <mergeCell ref="N33:N34"/>
    <mergeCell ref="O33:O34"/>
    <mergeCell ref="Q33:Q34"/>
    <mergeCell ref="R33:R34"/>
    <mergeCell ref="U35:U36"/>
    <mergeCell ref="N35:N36"/>
    <mergeCell ref="O35:O36"/>
    <mergeCell ref="A37:A38"/>
    <mergeCell ref="B37:B38"/>
    <mergeCell ref="C37:C38"/>
    <mergeCell ref="D37:D38"/>
    <mergeCell ref="E37:E38"/>
    <mergeCell ref="F37:F38"/>
    <mergeCell ref="M37:M38"/>
    <mergeCell ref="N37:N38"/>
    <mergeCell ref="O37:O38"/>
    <mergeCell ref="Q35:Q36"/>
    <mergeCell ref="R35:R36"/>
    <mergeCell ref="S35:S36"/>
    <mergeCell ref="T35:T36"/>
    <mergeCell ref="Q37:Q38"/>
    <mergeCell ref="R37:R38"/>
    <mergeCell ref="S37:S38"/>
    <mergeCell ref="T37:T38"/>
    <mergeCell ref="U37:U38"/>
    <mergeCell ref="A39:A40"/>
    <mergeCell ref="B39:B40"/>
    <mergeCell ref="C39:C40"/>
    <mergeCell ref="D39:D40"/>
    <mergeCell ref="E39:E40"/>
    <mergeCell ref="S39:S40"/>
    <mergeCell ref="T39:T40"/>
    <mergeCell ref="U39:U40"/>
    <mergeCell ref="A41:A42"/>
    <mergeCell ref="B41:B42"/>
    <mergeCell ref="C41:C42"/>
    <mergeCell ref="D41:D42"/>
    <mergeCell ref="E41:E42"/>
    <mergeCell ref="F41:F42"/>
    <mergeCell ref="M41:M42"/>
    <mergeCell ref="F39:F40"/>
    <mergeCell ref="M39:M40"/>
    <mergeCell ref="N39:N40"/>
    <mergeCell ref="O39:O40"/>
    <mergeCell ref="Q39:Q40"/>
    <mergeCell ref="R39:R40"/>
    <mergeCell ref="U41:U42"/>
    <mergeCell ref="N41:N42"/>
    <mergeCell ref="O41:O42"/>
    <mergeCell ref="A43:A44"/>
    <mergeCell ref="B43:B44"/>
    <mergeCell ref="C43:C44"/>
    <mergeCell ref="D43:D44"/>
    <mergeCell ref="E43:E44"/>
    <mergeCell ref="F43:F44"/>
    <mergeCell ref="M43:M44"/>
    <mergeCell ref="N43:N44"/>
    <mergeCell ref="O43:O44"/>
    <mergeCell ref="Q41:Q42"/>
    <mergeCell ref="R41:R42"/>
    <mergeCell ref="S41:S42"/>
    <mergeCell ref="T41:T42"/>
    <mergeCell ref="Q43:Q44"/>
    <mergeCell ref="R43:R44"/>
    <mergeCell ref="S43:S44"/>
    <mergeCell ref="T43:T44"/>
    <mergeCell ref="U43:U44"/>
    <mergeCell ref="A45:A46"/>
    <mergeCell ref="B45:B46"/>
    <mergeCell ref="C45:C46"/>
    <mergeCell ref="D45:D46"/>
    <mergeCell ref="E45:E46"/>
    <mergeCell ref="S45:S46"/>
    <mergeCell ref="T45:T46"/>
    <mergeCell ref="U45:U46"/>
    <mergeCell ref="A47:A49"/>
    <mergeCell ref="B47:B49"/>
    <mergeCell ref="C47:C49"/>
    <mergeCell ref="D47:D49"/>
    <mergeCell ref="E47:E49"/>
    <mergeCell ref="F47:F49"/>
    <mergeCell ref="M47:M49"/>
    <mergeCell ref="F45:F46"/>
    <mergeCell ref="M45:M46"/>
    <mergeCell ref="N45:N46"/>
    <mergeCell ref="O45:O46"/>
    <mergeCell ref="Q45:Q46"/>
    <mergeCell ref="R45:R46"/>
    <mergeCell ref="U47:U49"/>
    <mergeCell ref="N47:N49"/>
    <mergeCell ref="O47:O49"/>
    <mergeCell ref="A50:A52"/>
    <mergeCell ref="B50:B52"/>
    <mergeCell ref="C50:C52"/>
    <mergeCell ref="D50:D52"/>
    <mergeCell ref="E50:E52"/>
    <mergeCell ref="F50:F52"/>
    <mergeCell ref="M50:M52"/>
    <mergeCell ref="N50:N52"/>
    <mergeCell ref="O50:O52"/>
    <mergeCell ref="Q47:Q49"/>
    <mergeCell ref="R47:R49"/>
    <mergeCell ref="S47:S49"/>
    <mergeCell ref="T47:T49"/>
    <mergeCell ref="Q50:Q52"/>
    <mergeCell ref="R50:R52"/>
    <mergeCell ref="S50:S52"/>
    <mergeCell ref="T50:T52"/>
    <mergeCell ref="U50:U52"/>
    <mergeCell ref="A53:A55"/>
    <mergeCell ref="B53:B55"/>
    <mergeCell ref="C53:C55"/>
    <mergeCell ref="D53:D55"/>
    <mergeCell ref="E53:E55"/>
    <mergeCell ref="S53:S55"/>
    <mergeCell ref="T53:T55"/>
    <mergeCell ref="U53:U55"/>
    <mergeCell ref="A56:A58"/>
    <mergeCell ref="B56:B58"/>
    <mergeCell ref="C56:C58"/>
    <mergeCell ref="D56:D58"/>
    <mergeCell ref="E56:E58"/>
    <mergeCell ref="F56:F58"/>
    <mergeCell ref="M56:M58"/>
    <mergeCell ref="F53:F55"/>
    <mergeCell ref="M53:M55"/>
    <mergeCell ref="N53:N55"/>
    <mergeCell ref="O53:O55"/>
    <mergeCell ref="Q53:Q55"/>
    <mergeCell ref="R53:R55"/>
    <mergeCell ref="U56:U58"/>
    <mergeCell ref="N56:N58"/>
    <mergeCell ref="O56:O58"/>
    <mergeCell ref="A59:A61"/>
    <mergeCell ref="B59:B61"/>
    <mergeCell ref="C59:C61"/>
    <mergeCell ref="D59:D61"/>
    <mergeCell ref="E59:E61"/>
    <mergeCell ref="F59:F61"/>
    <mergeCell ref="M59:M61"/>
    <mergeCell ref="N59:N61"/>
    <mergeCell ref="O59:O61"/>
    <mergeCell ref="Q56:Q58"/>
    <mergeCell ref="R56:R58"/>
    <mergeCell ref="S56:S58"/>
    <mergeCell ref="T56:T58"/>
    <mergeCell ref="Q59:Q61"/>
    <mergeCell ref="R59:R61"/>
    <mergeCell ref="S59:S61"/>
    <mergeCell ref="T59:T61"/>
    <mergeCell ref="U59:U61"/>
    <mergeCell ref="A62:A63"/>
    <mergeCell ref="B62:B63"/>
    <mergeCell ref="C62:C63"/>
    <mergeCell ref="D62:D63"/>
    <mergeCell ref="E62:E63"/>
    <mergeCell ref="S62:S63"/>
    <mergeCell ref="T62:T63"/>
    <mergeCell ref="U62:U63"/>
    <mergeCell ref="A64:A66"/>
    <mergeCell ref="B64:B66"/>
    <mergeCell ref="C64:C66"/>
    <mergeCell ref="D64:D66"/>
    <mergeCell ref="E64:E66"/>
    <mergeCell ref="F64:F66"/>
    <mergeCell ref="M64:M66"/>
    <mergeCell ref="F62:F63"/>
    <mergeCell ref="M62:M63"/>
    <mergeCell ref="N62:N63"/>
    <mergeCell ref="O62:O63"/>
    <mergeCell ref="Q62:Q63"/>
    <mergeCell ref="R62:R63"/>
    <mergeCell ref="U64:U66"/>
    <mergeCell ref="N64:N66"/>
    <mergeCell ref="O64:O66"/>
    <mergeCell ref="A67:A69"/>
    <mergeCell ref="B67:B69"/>
    <mergeCell ref="C67:C69"/>
    <mergeCell ref="D67:D69"/>
    <mergeCell ref="E67:E69"/>
    <mergeCell ref="F67:F69"/>
    <mergeCell ref="M67:M69"/>
    <mergeCell ref="N67:N69"/>
    <mergeCell ref="O67:O69"/>
    <mergeCell ref="Q64:Q66"/>
    <mergeCell ref="R64:R66"/>
    <mergeCell ref="S64:S66"/>
    <mergeCell ref="T64:T66"/>
    <mergeCell ref="Q67:Q69"/>
    <mergeCell ref="R67:R69"/>
    <mergeCell ref="S67:S69"/>
    <mergeCell ref="T67:T69"/>
    <mergeCell ref="U67:U69"/>
    <mergeCell ref="A70:A71"/>
    <mergeCell ref="B70:B71"/>
    <mergeCell ref="C70:C71"/>
    <mergeCell ref="D70:D71"/>
    <mergeCell ref="E70:E71"/>
    <mergeCell ref="S70:S71"/>
    <mergeCell ref="T70:T71"/>
    <mergeCell ref="U70:U71"/>
    <mergeCell ref="A72:A74"/>
    <mergeCell ref="B72:B74"/>
    <mergeCell ref="C72:C74"/>
    <mergeCell ref="D72:D74"/>
    <mergeCell ref="E72:E74"/>
    <mergeCell ref="F72:F74"/>
    <mergeCell ref="M72:M74"/>
    <mergeCell ref="F70:F71"/>
    <mergeCell ref="M70:M71"/>
    <mergeCell ref="N70:N71"/>
    <mergeCell ref="O70:O71"/>
    <mergeCell ref="Q70:Q71"/>
    <mergeCell ref="R70:R71"/>
    <mergeCell ref="U72:U74"/>
    <mergeCell ref="N72:N74"/>
    <mergeCell ref="O72:O74"/>
    <mergeCell ref="A75:A77"/>
    <mergeCell ref="B75:B77"/>
    <mergeCell ref="C75:C77"/>
    <mergeCell ref="D75:D77"/>
    <mergeCell ref="E75:E77"/>
    <mergeCell ref="F75:F77"/>
    <mergeCell ref="M75:M77"/>
    <mergeCell ref="N75:N77"/>
    <mergeCell ref="O75:O77"/>
    <mergeCell ref="Q72:Q74"/>
    <mergeCell ref="R72:R74"/>
    <mergeCell ref="S72:S74"/>
    <mergeCell ref="T72:T74"/>
    <mergeCell ref="Q75:Q77"/>
    <mergeCell ref="R75:R77"/>
    <mergeCell ref="S75:S77"/>
    <mergeCell ref="T75:T77"/>
    <mergeCell ref="U75:U77"/>
    <mergeCell ref="A78:A79"/>
    <mergeCell ref="B78:B79"/>
    <mergeCell ref="C78:C79"/>
    <mergeCell ref="D78:D79"/>
    <mergeCell ref="E78:E79"/>
    <mergeCell ref="S78:S79"/>
    <mergeCell ref="T78:T79"/>
    <mergeCell ref="U78:U79"/>
    <mergeCell ref="A80:A81"/>
    <mergeCell ref="B80:B81"/>
    <mergeCell ref="C80:C81"/>
    <mergeCell ref="D80:D81"/>
    <mergeCell ref="E80:E81"/>
    <mergeCell ref="F80:F81"/>
    <mergeCell ref="M80:M81"/>
    <mergeCell ref="F78:F79"/>
    <mergeCell ref="M78:M79"/>
    <mergeCell ref="N78:N79"/>
    <mergeCell ref="O78:O79"/>
    <mergeCell ref="Q78:Q79"/>
    <mergeCell ref="R78:R79"/>
    <mergeCell ref="U80:U81"/>
    <mergeCell ref="N80:N81"/>
    <mergeCell ref="O80:O81"/>
    <mergeCell ref="A82:A83"/>
    <mergeCell ref="B82:B83"/>
    <mergeCell ref="C82:C83"/>
    <mergeCell ref="D82:D83"/>
    <mergeCell ref="E82:E83"/>
    <mergeCell ref="F82:F83"/>
    <mergeCell ref="M82:M83"/>
    <mergeCell ref="N82:N83"/>
    <mergeCell ref="O82:O83"/>
    <mergeCell ref="Q80:Q81"/>
    <mergeCell ref="R80:R81"/>
    <mergeCell ref="S80:S81"/>
    <mergeCell ref="T80:T81"/>
    <mergeCell ref="Q82:Q83"/>
    <mergeCell ref="R82:R83"/>
    <mergeCell ref="S82:S83"/>
    <mergeCell ref="T82:T83"/>
    <mergeCell ref="U82:U83"/>
    <mergeCell ref="A84:A86"/>
    <mergeCell ref="B84:B86"/>
    <mergeCell ref="C84:C86"/>
    <mergeCell ref="D84:D86"/>
    <mergeCell ref="E84:E86"/>
    <mergeCell ref="S84:S86"/>
    <mergeCell ref="T84:T86"/>
    <mergeCell ref="U84:U86"/>
    <mergeCell ref="A87:A88"/>
    <mergeCell ref="B87:B88"/>
    <mergeCell ref="C87:C88"/>
    <mergeCell ref="D87:D88"/>
    <mergeCell ref="E87:E88"/>
    <mergeCell ref="F87:F88"/>
    <mergeCell ref="M87:M88"/>
    <mergeCell ref="F84:F86"/>
    <mergeCell ref="M84:M86"/>
    <mergeCell ref="N84:N86"/>
    <mergeCell ref="O84:O86"/>
    <mergeCell ref="Q84:Q86"/>
    <mergeCell ref="R84:R86"/>
    <mergeCell ref="U87:U88"/>
    <mergeCell ref="N87:N88"/>
    <mergeCell ref="O87:O88"/>
    <mergeCell ref="A89:A91"/>
    <mergeCell ref="B89:B91"/>
    <mergeCell ref="C89:C91"/>
    <mergeCell ref="D89:D91"/>
    <mergeCell ref="E89:E91"/>
    <mergeCell ref="F89:F91"/>
    <mergeCell ref="M89:M91"/>
    <mergeCell ref="N89:N91"/>
    <mergeCell ref="O89:O91"/>
    <mergeCell ref="Q87:Q88"/>
    <mergeCell ref="R87:R88"/>
    <mergeCell ref="S87:S88"/>
    <mergeCell ref="T87:T88"/>
    <mergeCell ref="Q89:Q91"/>
    <mergeCell ref="R89:R91"/>
    <mergeCell ref="S89:S91"/>
    <mergeCell ref="T89:T91"/>
    <mergeCell ref="U89:U91"/>
    <mergeCell ref="A92:A94"/>
    <mergeCell ref="B92:B94"/>
    <mergeCell ref="C92:C94"/>
    <mergeCell ref="D92:D94"/>
    <mergeCell ref="E92:E94"/>
    <mergeCell ref="S92:S94"/>
    <mergeCell ref="T92:T94"/>
    <mergeCell ref="U92:U94"/>
    <mergeCell ref="A95:A97"/>
    <mergeCell ref="B95:B97"/>
    <mergeCell ref="C95:C97"/>
    <mergeCell ref="D95:D97"/>
    <mergeCell ref="E95:E97"/>
    <mergeCell ref="F95:F97"/>
    <mergeCell ref="M95:M97"/>
    <mergeCell ref="F92:F94"/>
    <mergeCell ref="M92:M94"/>
    <mergeCell ref="N92:N94"/>
    <mergeCell ref="O92:O94"/>
    <mergeCell ref="Q92:Q94"/>
    <mergeCell ref="R92:R94"/>
    <mergeCell ref="U95:U97"/>
    <mergeCell ref="N95:N97"/>
    <mergeCell ref="O95:O97"/>
    <mergeCell ref="Q95:Q97"/>
    <mergeCell ref="R95:R97"/>
    <mergeCell ref="S95:S97"/>
    <mergeCell ref="T95:T97"/>
    <mergeCell ref="R98:R99"/>
    <mergeCell ref="S98:S99"/>
    <mergeCell ref="T98:T99"/>
    <mergeCell ref="U98:U99"/>
    <mergeCell ref="A100:A101"/>
    <mergeCell ref="B100:B101"/>
    <mergeCell ref="C100:C101"/>
    <mergeCell ref="D100:D101"/>
    <mergeCell ref="E100:E101"/>
    <mergeCell ref="A98:A99"/>
    <mergeCell ref="B98:B99"/>
    <mergeCell ref="C98:C99"/>
    <mergeCell ref="D98:D99"/>
    <mergeCell ref="E98:E99"/>
    <mergeCell ref="F98:F99"/>
    <mergeCell ref="M98:M99"/>
    <mergeCell ref="N98:N99"/>
    <mergeCell ref="O98:O99"/>
    <mergeCell ref="A102:A104"/>
    <mergeCell ref="B102:B104"/>
    <mergeCell ref="C102:C104"/>
    <mergeCell ref="D102:D104"/>
    <mergeCell ref="E102:E104"/>
    <mergeCell ref="F102:F104"/>
    <mergeCell ref="M102:M104"/>
    <mergeCell ref="F100:F101"/>
    <mergeCell ref="M100:M101"/>
    <mergeCell ref="N102:N104"/>
    <mergeCell ref="O102:O104"/>
    <mergeCell ref="Q102:Q104"/>
    <mergeCell ref="R102:R104"/>
    <mergeCell ref="S102:S104"/>
    <mergeCell ref="T102:T104"/>
    <mergeCell ref="S100:S101"/>
    <mergeCell ref="T100:T101"/>
    <mergeCell ref="U100:U101"/>
    <mergeCell ref="N100:N101"/>
    <mergeCell ref="O100:O101"/>
    <mergeCell ref="Q100:Q101"/>
    <mergeCell ref="R100:R101"/>
    <mergeCell ref="A105:A107"/>
    <mergeCell ref="B105:B107"/>
    <mergeCell ref="C105:C107"/>
    <mergeCell ref="D105:D107"/>
    <mergeCell ref="E105:E107"/>
    <mergeCell ref="F105:F107"/>
    <mergeCell ref="M105:M107"/>
    <mergeCell ref="N105:N107"/>
    <mergeCell ref="O105:O107"/>
    <mergeCell ref="A111:A113"/>
    <mergeCell ref="B111:B113"/>
    <mergeCell ref="C111:C113"/>
    <mergeCell ref="D111:D113"/>
    <mergeCell ref="E111:E113"/>
    <mergeCell ref="F111:F113"/>
    <mergeCell ref="M111:M113"/>
    <mergeCell ref="F108:F110"/>
    <mergeCell ref="M108:M110"/>
    <mergeCell ref="A108:A110"/>
    <mergeCell ref="B108:B110"/>
    <mergeCell ref="C108:C110"/>
    <mergeCell ref="D108:D110"/>
    <mergeCell ref="E108:E110"/>
    <mergeCell ref="N111:N113"/>
    <mergeCell ref="O111:O113"/>
    <mergeCell ref="Q111:Q113"/>
    <mergeCell ref="R111:R113"/>
    <mergeCell ref="S111:S113"/>
    <mergeCell ref="T111:T113"/>
    <mergeCell ref="S108:S110"/>
    <mergeCell ref="T108:T110"/>
    <mergeCell ref="U108:U110"/>
    <mergeCell ref="N108:N110"/>
    <mergeCell ref="O108:O110"/>
    <mergeCell ref="Q108:Q110"/>
    <mergeCell ref="R108:R110"/>
    <mergeCell ref="A114:A115"/>
    <mergeCell ref="B114:B115"/>
    <mergeCell ref="C114:C115"/>
    <mergeCell ref="D114:D115"/>
    <mergeCell ref="E114:E115"/>
    <mergeCell ref="F114:F115"/>
    <mergeCell ref="M114:M115"/>
    <mergeCell ref="N114:N115"/>
    <mergeCell ref="O114:O115"/>
    <mergeCell ref="A118:A119"/>
    <mergeCell ref="B118:B119"/>
    <mergeCell ref="C118:C119"/>
    <mergeCell ref="D118:D119"/>
    <mergeCell ref="E118:E119"/>
    <mergeCell ref="F118:F119"/>
    <mergeCell ref="M118:M119"/>
    <mergeCell ref="F116:F117"/>
    <mergeCell ref="M116:M117"/>
    <mergeCell ref="A116:A117"/>
    <mergeCell ref="B116:B117"/>
    <mergeCell ref="C116:C117"/>
    <mergeCell ref="D116:D117"/>
    <mergeCell ref="E116:E117"/>
    <mergeCell ref="N118:N119"/>
    <mergeCell ref="O118:O119"/>
    <mergeCell ref="Q118:Q119"/>
    <mergeCell ref="R118:R119"/>
    <mergeCell ref="S118:S119"/>
    <mergeCell ref="T118:T119"/>
    <mergeCell ref="S116:S117"/>
    <mergeCell ref="T116:T117"/>
    <mergeCell ref="U116:U117"/>
    <mergeCell ref="N116:N117"/>
    <mergeCell ref="O116:O117"/>
    <mergeCell ref="Q116:Q117"/>
    <mergeCell ref="R116:R117"/>
    <mergeCell ref="A120:A121"/>
    <mergeCell ref="B120:B121"/>
    <mergeCell ref="C120:C121"/>
    <mergeCell ref="D120:D121"/>
    <mergeCell ref="E120:E121"/>
    <mergeCell ref="F120:F121"/>
    <mergeCell ref="M120:M121"/>
    <mergeCell ref="N120:N121"/>
    <mergeCell ref="O120:O121"/>
    <mergeCell ref="Q120:Q121"/>
    <mergeCell ref="R120:R121"/>
    <mergeCell ref="S120:S121"/>
    <mergeCell ref="T120:T121"/>
    <mergeCell ref="U120:U121"/>
    <mergeCell ref="V5:V6"/>
    <mergeCell ref="V7:V8"/>
    <mergeCell ref="V9:V10"/>
    <mergeCell ref="V11:V12"/>
    <mergeCell ref="V13:V14"/>
    <mergeCell ref="U118:U119"/>
    <mergeCell ref="Q114:Q115"/>
    <mergeCell ref="R114:R115"/>
    <mergeCell ref="S114:S115"/>
    <mergeCell ref="T114:T115"/>
    <mergeCell ref="U114:U115"/>
    <mergeCell ref="U111:U113"/>
    <mergeCell ref="Q105:Q107"/>
    <mergeCell ref="R105:R107"/>
    <mergeCell ref="S105:S107"/>
    <mergeCell ref="T105:T107"/>
    <mergeCell ref="U105:U107"/>
    <mergeCell ref="U102:U104"/>
    <mergeCell ref="Q98:Q99"/>
    <mergeCell ref="V27:V28"/>
    <mergeCell ref="V29:V30"/>
    <mergeCell ref="V31:V32"/>
    <mergeCell ref="V33:V34"/>
    <mergeCell ref="V35:V36"/>
    <mergeCell ref="V37:V38"/>
    <mergeCell ref="V15:V16"/>
    <mergeCell ref="V17:V18"/>
    <mergeCell ref="V19:V20"/>
    <mergeCell ref="V21:V22"/>
    <mergeCell ref="V23:V24"/>
    <mergeCell ref="V25:V26"/>
    <mergeCell ref="V53:V55"/>
    <mergeCell ref="V56:V58"/>
    <mergeCell ref="V59:V61"/>
    <mergeCell ref="V62:V63"/>
    <mergeCell ref="V64:V66"/>
    <mergeCell ref="V67:V69"/>
    <mergeCell ref="V39:V40"/>
    <mergeCell ref="V41:V42"/>
    <mergeCell ref="V43:V44"/>
    <mergeCell ref="V45:V46"/>
    <mergeCell ref="V47:V49"/>
    <mergeCell ref="V50:V52"/>
    <mergeCell ref="V84:V86"/>
    <mergeCell ref="V87:V88"/>
    <mergeCell ref="V89:V91"/>
    <mergeCell ref="V92:V94"/>
    <mergeCell ref="V95:V97"/>
    <mergeCell ref="V98:V99"/>
    <mergeCell ref="V70:V71"/>
    <mergeCell ref="V72:V74"/>
    <mergeCell ref="V75:V77"/>
    <mergeCell ref="V78:V79"/>
    <mergeCell ref="V80:V81"/>
    <mergeCell ref="V82:V83"/>
    <mergeCell ref="V116:V117"/>
    <mergeCell ref="V118:V119"/>
    <mergeCell ref="V120:V121"/>
    <mergeCell ref="V100:V101"/>
    <mergeCell ref="V102:V104"/>
    <mergeCell ref="V105:V107"/>
    <mergeCell ref="V108:V110"/>
    <mergeCell ref="V111:V113"/>
    <mergeCell ref="V114:V115"/>
  </mergeCells>
  <conditionalFormatting sqref="A7:A41 A43">
    <cfRule type="containsBlanks" dxfId="32" priority="32">
      <formula>LEN(TRIM(A7))=0</formula>
    </cfRule>
  </conditionalFormatting>
  <conditionalFormatting sqref="A47">
    <cfRule type="containsBlanks" dxfId="31" priority="29">
      <formula>LEN(TRIM(A47))=0</formula>
    </cfRule>
  </conditionalFormatting>
  <conditionalFormatting sqref="A50">
    <cfRule type="containsBlanks" dxfId="30" priority="28">
      <formula>LEN(TRIM(A50))=0</formula>
    </cfRule>
  </conditionalFormatting>
  <conditionalFormatting sqref="A53">
    <cfRule type="containsBlanks" dxfId="29" priority="27">
      <formula>LEN(TRIM(A53))=0</formula>
    </cfRule>
  </conditionalFormatting>
  <conditionalFormatting sqref="A56">
    <cfRule type="containsBlanks" dxfId="28" priority="26">
      <formula>LEN(TRIM(A56))=0</formula>
    </cfRule>
  </conditionalFormatting>
  <conditionalFormatting sqref="A59">
    <cfRule type="containsBlanks" dxfId="27" priority="25">
      <formula>LEN(TRIM(A59))=0</formula>
    </cfRule>
  </conditionalFormatting>
  <conditionalFormatting sqref="A62">
    <cfRule type="containsBlanks" dxfId="26" priority="24">
      <formula>LEN(TRIM(A62))=0</formula>
    </cfRule>
  </conditionalFormatting>
  <conditionalFormatting sqref="A64">
    <cfRule type="containsBlanks" dxfId="25" priority="23">
      <formula>LEN(TRIM(A64))=0</formula>
    </cfRule>
  </conditionalFormatting>
  <conditionalFormatting sqref="A67">
    <cfRule type="containsBlanks" dxfId="24" priority="22">
      <formula>LEN(TRIM(A67))=0</formula>
    </cfRule>
  </conditionalFormatting>
  <conditionalFormatting sqref="A70">
    <cfRule type="containsBlanks" dxfId="23" priority="21">
      <formula>LEN(TRIM(A70))=0</formula>
    </cfRule>
  </conditionalFormatting>
  <conditionalFormatting sqref="A72">
    <cfRule type="containsBlanks" dxfId="22" priority="20">
      <formula>LEN(TRIM(A72))=0</formula>
    </cfRule>
  </conditionalFormatting>
  <conditionalFormatting sqref="A75">
    <cfRule type="containsBlanks" dxfId="21" priority="19">
      <formula>LEN(TRIM(A75))=0</formula>
    </cfRule>
  </conditionalFormatting>
  <conditionalFormatting sqref="A78">
    <cfRule type="containsBlanks" dxfId="20" priority="18">
      <formula>LEN(TRIM(A78))=0</formula>
    </cfRule>
  </conditionalFormatting>
  <conditionalFormatting sqref="A80">
    <cfRule type="containsBlanks" dxfId="19" priority="17">
      <formula>LEN(TRIM(A80))=0</formula>
    </cfRule>
  </conditionalFormatting>
  <conditionalFormatting sqref="A82">
    <cfRule type="containsBlanks" dxfId="18" priority="16">
      <formula>LEN(TRIM(A82))=0</formula>
    </cfRule>
  </conditionalFormatting>
  <conditionalFormatting sqref="A84">
    <cfRule type="containsBlanks" dxfId="17" priority="15">
      <formula>LEN(TRIM(A84))=0</formula>
    </cfRule>
  </conditionalFormatting>
  <conditionalFormatting sqref="A87">
    <cfRule type="containsBlanks" dxfId="16" priority="14">
      <formula>LEN(TRIM(A87))=0</formula>
    </cfRule>
  </conditionalFormatting>
  <conditionalFormatting sqref="A89">
    <cfRule type="containsBlanks" dxfId="15" priority="13">
      <formula>LEN(TRIM(A89))=0</formula>
    </cfRule>
  </conditionalFormatting>
  <conditionalFormatting sqref="A92">
    <cfRule type="containsBlanks" dxfId="14" priority="12">
      <formula>LEN(TRIM(A92))=0</formula>
    </cfRule>
  </conditionalFormatting>
  <conditionalFormatting sqref="A95">
    <cfRule type="containsBlanks" dxfId="13" priority="11">
      <formula>LEN(TRIM(A95))=0</formula>
    </cfRule>
  </conditionalFormatting>
  <conditionalFormatting sqref="A98">
    <cfRule type="containsBlanks" dxfId="12" priority="10">
      <formula>LEN(TRIM(A98))=0</formula>
    </cfRule>
  </conditionalFormatting>
  <conditionalFormatting sqref="A100">
    <cfRule type="containsBlanks" dxfId="11" priority="9">
      <formula>LEN(TRIM(A100))=0</formula>
    </cfRule>
  </conditionalFormatting>
  <conditionalFormatting sqref="A102">
    <cfRule type="containsBlanks" dxfId="10" priority="8">
      <formula>LEN(TRIM(A102))=0</formula>
    </cfRule>
  </conditionalFormatting>
  <conditionalFormatting sqref="A105">
    <cfRule type="containsBlanks" dxfId="9" priority="7">
      <formula>LEN(TRIM(A105))=0</formula>
    </cfRule>
  </conditionalFormatting>
  <conditionalFormatting sqref="A108">
    <cfRule type="containsBlanks" dxfId="8" priority="6">
      <formula>LEN(TRIM(A108))=0</formula>
    </cfRule>
  </conditionalFormatting>
  <conditionalFormatting sqref="A111">
    <cfRule type="containsBlanks" dxfId="7" priority="5">
      <formula>LEN(TRIM(A111))=0</formula>
    </cfRule>
  </conditionalFormatting>
  <conditionalFormatting sqref="A114">
    <cfRule type="containsBlanks" dxfId="6" priority="4">
      <formula>LEN(TRIM(A114))=0</formula>
    </cfRule>
  </conditionalFormatting>
  <conditionalFormatting sqref="A116">
    <cfRule type="containsBlanks" dxfId="5" priority="3">
      <formula>LEN(TRIM(A116))=0</formula>
    </cfRule>
  </conditionalFormatting>
  <conditionalFormatting sqref="A118">
    <cfRule type="containsBlanks" dxfId="4" priority="2">
      <formula>LEN(TRIM(A118))=0</formula>
    </cfRule>
  </conditionalFormatting>
  <conditionalFormatting sqref="A120">
    <cfRule type="containsBlanks" dxfId="3" priority="1">
      <formula>LEN(TRIM(A120))=0</formula>
    </cfRule>
  </conditionalFormatting>
  <conditionalFormatting sqref="A5:D5">
    <cfRule type="containsBlanks" dxfId="2" priority="33">
      <formula>LEN(TRIM(A5))=0</formula>
    </cfRule>
  </conditionalFormatting>
  <conditionalFormatting sqref="B7:D7">
    <cfRule type="containsBlanks" dxfId="1" priority="31">
      <formula>LEN(TRIM(B7))=0</formula>
    </cfRule>
  </conditionalFormatting>
  <conditionalFormatting sqref="G5:H5 J5:K121 H6:H10 G6:G121 B9:D121 H12:H121 A45">
    <cfRule type="containsBlanks" dxfId="0" priority="30">
      <formula>LEN(TRIM(A5))=0</formula>
    </cfRule>
  </conditionalFormatting>
  <conditionalFormatting sqref="P5:P6">
    <cfRule type="dataBar" priority="36">
      <dataBar>
        <cfvo type="min"/>
        <cfvo type="max"/>
        <color rgb="FFC2D2E8"/>
      </dataBar>
      <extLst>
        <ext xmlns:x14="http://schemas.microsoft.com/office/spreadsheetml/2009/9/main" uri="{B025F937-C7B1-47D3-B67F-A62EFF666E3E}">
          <x14:id>{920893E3-4001-4497-9F1C-33C0BE7A34AA}</x14:id>
        </ext>
      </extLst>
    </cfRule>
  </conditionalFormatting>
  <conditionalFormatting sqref="P7:P8">
    <cfRule type="dataBar" priority="35">
      <dataBar>
        <cfvo type="min"/>
        <cfvo type="max"/>
        <color rgb="FFC2D2E8"/>
      </dataBar>
      <extLst>
        <ext xmlns:x14="http://schemas.microsoft.com/office/spreadsheetml/2009/9/main" uri="{B025F937-C7B1-47D3-B67F-A62EFF666E3E}">
          <x14:id>{58B5F065-F409-4B90-9C27-A4ECA7C9F4DE}</x14:id>
        </ext>
      </extLst>
    </cfRule>
  </conditionalFormatting>
  <conditionalFormatting sqref="P9:P121">
    <cfRule type="dataBar" priority="34">
      <dataBar>
        <cfvo type="min"/>
        <cfvo type="max"/>
        <color rgb="FFC2D2E8"/>
      </dataBar>
      <extLst>
        <ext xmlns:x14="http://schemas.microsoft.com/office/spreadsheetml/2009/9/main" uri="{B025F937-C7B1-47D3-B67F-A62EFF666E3E}">
          <x14:id>{638024A1-C28B-4CC3-B226-F700F5EC5711}</x14:id>
        </ext>
      </extLst>
    </cfRule>
  </conditionalFormatting>
  <pageMargins left="0.25" right="0.25" top="0.75" bottom="0.75" header="0.3" footer="0.3"/>
  <pageSetup paperSize="5" scale="46" orientation="landscape" horizontalDpi="300" verticalDpi="300" r:id="rId1"/>
  <rowBreaks count="1" manualBreakCount="1">
    <brk id="16" max="16383" man="1"/>
  </rowBreaks>
  <legacyDrawing r:id="rId2"/>
  <extLst>
    <ext xmlns:x14="http://schemas.microsoft.com/office/spreadsheetml/2009/9/main" uri="{78C0D931-6437-407d-A8EE-F0AAD7539E65}">
      <x14:conditionalFormattings>
        <x14:conditionalFormatting xmlns:xm="http://schemas.microsoft.com/office/excel/2006/main">
          <x14:cfRule type="dataBar" id="{920893E3-4001-4497-9F1C-33C0BE7A34AA}">
            <x14:dataBar minLength="0" maxLength="100" gradient="0">
              <x14:cfvo type="autoMin"/>
              <x14:cfvo type="autoMax"/>
              <x14:negativeFillColor rgb="FFFF0000"/>
              <x14:axisColor rgb="FF000000"/>
            </x14:dataBar>
          </x14:cfRule>
          <xm:sqref>P5:P6</xm:sqref>
        </x14:conditionalFormatting>
        <x14:conditionalFormatting xmlns:xm="http://schemas.microsoft.com/office/excel/2006/main">
          <x14:cfRule type="dataBar" id="{58B5F065-F409-4B90-9C27-A4ECA7C9F4DE}">
            <x14:dataBar minLength="0" maxLength="100" gradient="0">
              <x14:cfvo type="autoMin"/>
              <x14:cfvo type="autoMax"/>
              <x14:negativeFillColor rgb="FFFF0000"/>
              <x14:axisColor rgb="FF000000"/>
            </x14:dataBar>
          </x14:cfRule>
          <xm:sqref>P7:P8</xm:sqref>
        </x14:conditionalFormatting>
        <x14:conditionalFormatting xmlns:xm="http://schemas.microsoft.com/office/excel/2006/main">
          <x14:cfRule type="dataBar" id="{638024A1-C28B-4CC3-B226-F700F5EC5711}">
            <x14:dataBar minLength="0" maxLength="100" gradient="0">
              <x14:cfvo type="autoMin"/>
              <x14:cfvo type="autoMax"/>
              <x14:negativeFillColor rgb="FFFF0000"/>
              <x14:axisColor rgb="FF000000"/>
            </x14:dataBar>
          </x14:cfRule>
          <xm:sqref>P9:P121</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1867-5BB4-4C38-9FE6-767A5F27CB26}">
  <dimension ref="A1:V154"/>
  <sheetViews>
    <sheetView zoomScale="80" zoomScaleNormal="80" workbookViewId="0">
      <pane xSplit="3" ySplit="6" topLeftCell="M7" activePane="bottomRight" state="frozen"/>
      <selection pane="topRight" activeCell="D1" sqref="D1"/>
      <selection pane="bottomLeft" activeCell="A5" sqref="A5"/>
      <selection pane="bottomRight" activeCell="X153" sqref="X153"/>
    </sheetView>
  </sheetViews>
  <sheetFormatPr baseColWidth="10" defaultColWidth="11.44140625" defaultRowHeight="14.4" outlineLevelCol="1" x14ac:dyDescent="0.3"/>
  <cols>
    <col min="1" max="1" width="7.44140625" style="2" customWidth="1"/>
    <col min="2" max="2" width="12.6640625" style="2" customWidth="1"/>
    <col min="3" max="3" width="24" style="2" customWidth="1"/>
    <col min="4" max="4" width="52.5546875" style="2" customWidth="1"/>
    <col min="5" max="5" width="12.33203125" style="2" customWidth="1"/>
    <col min="6" max="6" width="12.5546875" style="2" customWidth="1"/>
    <col min="7" max="7" width="11.44140625" style="2"/>
    <col min="8" max="8" width="20.5546875" style="2" customWidth="1" outlineLevel="1"/>
    <col min="9" max="9" width="11.44140625" style="1" customWidth="1" outlineLevel="1"/>
    <col min="10" max="10" width="11.44140625" style="2" customWidth="1" outlineLevel="1"/>
    <col min="11" max="11" width="15.6640625" style="1" customWidth="1" outlineLevel="1"/>
    <col min="12" max="12" width="15.88671875" style="3" customWidth="1" outlineLevel="1"/>
    <col min="13" max="15" width="15.88671875" style="4" customWidth="1"/>
    <col min="16" max="16" width="17.88671875" style="3" customWidth="1"/>
    <col min="17" max="17" width="17.88671875" style="4" customWidth="1"/>
    <col min="18" max="18" width="17.88671875" style="3" customWidth="1"/>
    <col min="19" max="19" width="17" style="2" customWidth="1"/>
    <col min="20" max="20" width="27.6640625" style="2" customWidth="1"/>
    <col min="21" max="21" width="25.5546875" style="2" customWidth="1"/>
    <col min="22" max="22" width="25.88671875" style="2" customWidth="1"/>
    <col min="23" max="16384" width="11.44140625" style="2"/>
  </cols>
  <sheetData>
    <row r="1" spans="1:22" ht="20.25" customHeight="1" x14ac:dyDescent="0.3">
      <c r="A1" s="581" t="s">
        <v>642</v>
      </c>
      <c r="B1" s="581"/>
      <c r="C1" s="586" t="s">
        <v>643</v>
      </c>
      <c r="D1" s="586"/>
      <c r="E1" s="586"/>
      <c r="F1" s="586"/>
      <c r="G1" s="587"/>
      <c r="H1" s="890" t="s">
        <v>644</v>
      </c>
      <c r="I1" s="891"/>
      <c r="J1" s="891"/>
      <c r="K1" s="891"/>
      <c r="L1" s="892"/>
      <c r="M1" s="593" t="s">
        <v>645</v>
      </c>
      <c r="N1" s="594"/>
      <c r="O1" s="594"/>
      <c r="P1" s="594"/>
      <c r="Q1" s="594"/>
      <c r="R1" s="594"/>
      <c r="S1" s="594"/>
      <c r="T1" s="611"/>
      <c r="U1" s="572" t="s">
        <v>646</v>
      </c>
      <c r="V1" s="574">
        <f>SUM(U7:U152)</f>
        <v>4767999.6350399991</v>
      </c>
    </row>
    <row r="2" spans="1:22" ht="19.5" customHeight="1" x14ac:dyDescent="0.3">
      <c r="A2" s="581"/>
      <c r="B2" s="581"/>
      <c r="C2" s="589"/>
      <c r="D2" s="589"/>
      <c r="E2" s="589"/>
      <c r="F2" s="589"/>
      <c r="G2" s="590"/>
      <c r="H2" s="893"/>
      <c r="I2" s="894"/>
      <c r="J2" s="894"/>
      <c r="K2" s="894"/>
      <c r="L2" s="895"/>
      <c r="M2" s="896"/>
      <c r="N2" s="897"/>
      <c r="O2" s="897"/>
      <c r="P2" s="897"/>
      <c r="Q2" s="897"/>
      <c r="R2" s="897"/>
      <c r="S2" s="897"/>
      <c r="T2" s="898"/>
      <c r="U2" s="573"/>
      <c r="V2" s="575"/>
    </row>
    <row r="3" spans="1:22" ht="52.5" customHeight="1" x14ac:dyDescent="0.3">
      <c r="A3" s="581"/>
      <c r="B3" s="581"/>
      <c r="C3" s="589"/>
      <c r="D3" s="589"/>
      <c r="E3" s="589"/>
      <c r="F3" s="589"/>
      <c r="G3" s="590"/>
      <c r="H3" s="893"/>
      <c r="I3" s="894"/>
      <c r="J3" s="894"/>
      <c r="K3" s="894"/>
      <c r="L3" s="895"/>
      <c r="M3" s="896"/>
      <c r="N3" s="897"/>
      <c r="O3" s="897"/>
      <c r="P3" s="897"/>
      <c r="Q3" s="897"/>
      <c r="R3" s="897"/>
      <c r="S3" s="897"/>
      <c r="T3" s="898"/>
      <c r="U3" s="18"/>
      <c r="V3" s="79"/>
    </row>
    <row r="4" spans="1:22" ht="52.5" customHeight="1" x14ac:dyDescent="0.3">
      <c r="A4" s="583"/>
      <c r="B4" s="583"/>
      <c r="C4" s="589"/>
      <c r="D4" s="589"/>
      <c r="E4" s="589"/>
      <c r="F4" s="589"/>
      <c r="G4" s="590"/>
      <c r="H4" s="893"/>
      <c r="I4" s="894"/>
      <c r="J4" s="894"/>
      <c r="K4" s="894"/>
      <c r="L4" s="895"/>
      <c r="M4" s="595"/>
      <c r="N4" s="596"/>
      <c r="O4" s="596"/>
      <c r="P4" s="596"/>
      <c r="Q4" s="596"/>
      <c r="R4" s="596"/>
      <c r="S4" s="596"/>
      <c r="T4" s="612"/>
      <c r="U4" s="18" t="s">
        <v>1933</v>
      </c>
      <c r="V4" s="79">
        <f>V1+V3</f>
        <v>4767999.6350399991</v>
      </c>
    </row>
    <row r="5" spans="1:22" ht="15" customHeight="1" x14ac:dyDescent="0.3">
      <c r="A5" s="576" t="s">
        <v>3</v>
      </c>
      <c r="B5" s="576" t="s">
        <v>4</v>
      </c>
      <c r="C5" s="576" t="s">
        <v>5</v>
      </c>
      <c r="D5" s="576" t="s">
        <v>6</v>
      </c>
      <c r="E5" s="577" t="s">
        <v>648</v>
      </c>
      <c r="F5" s="578" t="s">
        <v>780</v>
      </c>
      <c r="G5" s="579" t="s">
        <v>9</v>
      </c>
      <c r="H5" s="622" t="s">
        <v>10</v>
      </c>
      <c r="I5" s="566" t="s">
        <v>11</v>
      </c>
      <c r="J5" s="567" t="s">
        <v>12</v>
      </c>
      <c r="K5" s="569" t="s">
        <v>650</v>
      </c>
      <c r="L5" s="579" t="s">
        <v>651</v>
      </c>
      <c r="M5" s="571" t="s">
        <v>15</v>
      </c>
      <c r="N5" s="365" t="s">
        <v>16</v>
      </c>
      <c r="O5" s="559" t="s">
        <v>17</v>
      </c>
      <c r="P5" s="560" t="s">
        <v>18</v>
      </c>
      <c r="Q5" s="366" t="s">
        <v>19</v>
      </c>
      <c r="R5" s="562" t="s">
        <v>20</v>
      </c>
      <c r="S5" s="564" t="s">
        <v>21</v>
      </c>
      <c r="T5" s="565" t="s">
        <v>22</v>
      </c>
      <c r="U5" s="601" t="s">
        <v>23</v>
      </c>
      <c r="V5" s="565" t="s">
        <v>652</v>
      </c>
    </row>
    <row r="6" spans="1:22" ht="69" customHeight="1" x14ac:dyDescent="0.3">
      <c r="A6" s="576"/>
      <c r="B6" s="576"/>
      <c r="C6" s="576"/>
      <c r="D6" s="576"/>
      <c r="E6" s="577"/>
      <c r="F6" s="578"/>
      <c r="G6" s="579"/>
      <c r="H6" s="622"/>
      <c r="I6" s="566"/>
      <c r="J6" s="568"/>
      <c r="K6" s="569"/>
      <c r="L6" s="579"/>
      <c r="M6" s="571"/>
      <c r="N6" s="365"/>
      <c r="O6" s="559"/>
      <c r="P6" s="560"/>
      <c r="Q6" s="561"/>
      <c r="R6" s="563"/>
      <c r="S6" s="564"/>
      <c r="T6" s="565"/>
      <c r="U6" s="601"/>
      <c r="V6" s="565"/>
    </row>
    <row r="7" spans="1:22" ht="56.25" customHeight="1" x14ac:dyDescent="0.3">
      <c r="A7" s="390">
        <v>1</v>
      </c>
      <c r="B7" s="886">
        <f>'[2]Lote Agroindustria'!B2</f>
        <v>50305601</v>
      </c>
      <c r="C7" s="889" t="str">
        <f>+'[2]Lote Agroindustria'!C2</f>
        <v>FRUTA FRESCA PIÑA GOLD</v>
      </c>
      <c r="D7" s="420" t="str">
        <f>+'[2]Lote Agroindustria'!D2</f>
        <v>Grado alimentario, sin daños fisiológicos, Brix ≥ 12</v>
      </c>
      <c r="E7" s="421" t="s">
        <v>65</v>
      </c>
      <c r="F7" s="421" t="s">
        <v>290</v>
      </c>
      <c r="G7" s="391">
        <v>1</v>
      </c>
      <c r="H7" s="143" t="s">
        <v>1934</v>
      </c>
      <c r="I7" s="22">
        <f>+'[2]Lote Agroindustria'!G2</f>
        <v>0</v>
      </c>
      <c r="J7" s="144">
        <f>+'[2]Lote Agroindustria'!H2</f>
        <v>0</v>
      </c>
      <c r="K7" s="89">
        <f>5630*1.04</f>
        <v>5855.2</v>
      </c>
      <c r="L7" s="5">
        <f>G7*K7+10000</f>
        <v>15855.2</v>
      </c>
      <c r="M7" s="411">
        <f>IFERROR(AVERAGE(L7:L8),"")</f>
        <v>19115.599999999999</v>
      </c>
      <c r="N7" s="411">
        <f>IFERROR(HARMEAN(L7:L8),"")</f>
        <v>18559.498796794243</v>
      </c>
      <c r="O7" s="411">
        <f>IFERROR(MEDIAN(L7:L8),"")</f>
        <v>19115.599999999999</v>
      </c>
      <c r="P7" s="86">
        <f t="shared" ref="P7:P70" si="0">IF(L7="","",L7)</f>
        <v>15855.2</v>
      </c>
      <c r="Q7" s="413">
        <f>IFERROR(SUM(P7:P8)/COUNTA(K7:K8),"")</f>
        <v>19115.599999999999</v>
      </c>
      <c r="R7" s="411">
        <f>IFERROR(_xlfn.STDEV.S(L7:L8),"")</f>
        <v>4610.9018987612444</v>
      </c>
      <c r="S7" s="415">
        <f>IFERROR(R7/M7,"")</f>
        <v>0.2412114659629436</v>
      </c>
      <c r="T7" s="405" t="s">
        <v>1935</v>
      </c>
      <c r="U7" s="407">
        <f>M7</f>
        <v>19115.599999999999</v>
      </c>
      <c r="V7" s="379"/>
    </row>
    <row r="8" spans="1:22" ht="60" customHeight="1" x14ac:dyDescent="0.3">
      <c r="A8" s="390"/>
      <c r="B8" s="392"/>
      <c r="C8" s="658"/>
      <c r="D8" s="420"/>
      <c r="E8" s="422"/>
      <c r="F8" s="422"/>
      <c r="G8" s="423"/>
      <c r="H8" s="145" t="s">
        <v>1936</v>
      </c>
      <c r="I8" s="22">
        <f>+'[2]Lote Agroindustria'!K2</f>
        <v>0</v>
      </c>
      <c r="J8" s="144">
        <f>+'[2]Lote Agroindustria'!L2</f>
        <v>0</v>
      </c>
      <c r="K8" s="89">
        <f>11900*1.04</f>
        <v>12376</v>
      </c>
      <c r="L8" s="5">
        <f>G7*K8+10000</f>
        <v>22376</v>
      </c>
      <c r="M8" s="412"/>
      <c r="N8" s="412"/>
      <c r="O8" s="412"/>
      <c r="P8" s="86">
        <f t="shared" si="0"/>
        <v>22376</v>
      </c>
      <c r="Q8" s="414"/>
      <c r="R8" s="412"/>
      <c r="S8" s="416"/>
      <c r="T8" s="406"/>
      <c r="U8" s="408"/>
      <c r="V8" s="379"/>
    </row>
    <row r="9" spans="1:22" ht="56.25" customHeight="1" x14ac:dyDescent="0.3">
      <c r="A9" s="389">
        <v>2</v>
      </c>
      <c r="B9" s="886">
        <f>+'[2]Lote Agroindustria'!B3</f>
        <v>50302003</v>
      </c>
      <c r="C9" s="889" t="str">
        <f>+'[2]Lote Agroindustria'!C3</f>
        <v>FRUTA FRESCA MORA DE CASTILLA</v>
      </c>
      <c r="D9" s="419" t="str">
        <f>+'[2]Lote Agroindustria'!D3</f>
        <v>Fruta sana, limpia, sin cuerpos extraños; madurez tecnológica</v>
      </c>
      <c r="E9" s="421" t="s">
        <v>65</v>
      </c>
      <c r="F9" s="421" t="s">
        <v>290</v>
      </c>
      <c r="G9" s="391">
        <v>1</v>
      </c>
      <c r="H9" s="143" t="s">
        <v>1937</v>
      </c>
      <c r="I9" s="22">
        <f>+'[2]Lote Agroindustria'!G3</f>
        <v>0</v>
      </c>
      <c r="J9" s="144">
        <f>+'[2]Lote Agroindustria'!H3</f>
        <v>0</v>
      </c>
      <c r="K9" s="89">
        <f>11480*1.04</f>
        <v>11939.2</v>
      </c>
      <c r="L9" s="5">
        <f>G9*K9+10000</f>
        <v>21939.200000000001</v>
      </c>
      <c r="M9" s="411">
        <f>IFERROR(AVERAGE(L9:L10),"")</f>
        <v>20124.400000000001</v>
      </c>
      <c r="N9" s="411">
        <f>IFERROR(HARMEAN(L9:L10),"")</f>
        <v>19960.742994573749</v>
      </c>
      <c r="O9" s="411">
        <f>IFERROR(MEDIAN(L9:L10),"")</f>
        <v>20124.400000000001</v>
      </c>
      <c r="P9" s="86">
        <f t="shared" si="0"/>
        <v>21939.200000000001</v>
      </c>
      <c r="Q9" s="413">
        <f>IFERROR(SUM(P9:P10)/COUNTA(K9:K10),"")</f>
        <v>20124.400000000001</v>
      </c>
      <c r="R9" s="411">
        <f>IFERROR(_xlfn.STDEV.S(L9:L10),"")</f>
        <v>2566.5147729946943</v>
      </c>
      <c r="S9" s="415">
        <f>IFERROR(R9/M9,"")</f>
        <v>0.12753248658318728</v>
      </c>
      <c r="T9" s="405" t="s">
        <v>1938</v>
      </c>
      <c r="U9" s="407">
        <f>L9</f>
        <v>21939.200000000001</v>
      </c>
      <c r="V9" s="379"/>
    </row>
    <row r="10" spans="1:22" ht="59.25" customHeight="1" x14ac:dyDescent="0.3">
      <c r="A10" s="390"/>
      <c r="B10" s="392"/>
      <c r="C10" s="658"/>
      <c r="D10" s="420"/>
      <c r="E10" s="422"/>
      <c r="F10" s="422"/>
      <c r="G10" s="423"/>
      <c r="H10" s="145" t="s">
        <v>1936</v>
      </c>
      <c r="I10" s="22">
        <f>+'[2]Lote Agroindustria'!K3</f>
        <v>0</v>
      </c>
      <c r="J10" s="144">
        <f>+'[2]Lote Agroindustria'!L3</f>
        <v>0</v>
      </c>
      <c r="K10" s="89">
        <f>7990*1.04</f>
        <v>8309.6</v>
      </c>
      <c r="L10" s="5">
        <f>G9*K10+10000</f>
        <v>18309.599999999999</v>
      </c>
      <c r="M10" s="412"/>
      <c r="N10" s="412"/>
      <c r="O10" s="412"/>
      <c r="P10" s="86">
        <f t="shared" si="0"/>
        <v>18309.599999999999</v>
      </c>
      <c r="Q10" s="414"/>
      <c r="R10" s="412"/>
      <c r="S10" s="416"/>
      <c r="T10" s="406"/>
      <c r="U10" s="408"/>
      <c r="V10" s="379"/>
    </row>
    <row r="11" spans="1:22" ht="50.25" customHeight="1" x14ac:dyDescent="0.3">
      <c r="A11" s="389">
        <v>3</v>
      </c>
      <c r="B11" s="886">
        <f>+'[2]Lote Agroindustria'!B4</f>
        <v>50303704</v>
      </c>
      <c r="C11" s="889" t="str">
        <f>+'[2]Lote Agroindustria'!C4</f>
        <v>FRUTA FRESCA GUAYABA PERA</v>
      </c>
      <c r="D11" s="419" t="str">
        <f>+'[2]Lote Agroindustria'!D4</f>
        <v>Fruta entera, limpia, sin golpes, aroma característico; madurez 3–4</v>
      </c>
      <c r="E11" s="421" t="s">
        <v>65</v>
      </c>
      <c r="F11" s="421" t="s">
        <v>290</v>
      </c>
      <c r="G11" s="391">
        <v>1</v>
      </c>
      <c r="H11" s="143" t="s">
        <v>1934</v>
      </c>
      <c r="I11" s="22">
        <f>+'[2]Lote Agroindustria'!G4</f>
        <v>0</v>
      </c>
      <c r="J11" s="144">
        <f>+'[2]Lote Agroindustria'!H4</f>
        <v>0</v>
      </c>
      <c r="K11" s="89">
        <f>6000*1.04</f>
        <v>6240</v>
      </c>
      <c r="L11" s="5">
        <f t="shared" ref="L11:L21" si="1">G11*K11+10000</f>
        <v>16240</v>
      </c>
      <c r="M11" s="411">
        <f>IFERROR(AVERAGE(L11:L12),"")</f>
        <v>15709.6</v>
      </c>
      <c r="N11" s="411">
        <f>IFERROR(HARMEAN(L11:L12),"")</f>
        <v>15691.69221367826</v>
      </c>
      <c r="O11" s="411">
        <f>IFERROR(MEDIAN(L11:L12),"")</f>
        <v>15709.6</v>
      </c>
      <c r="P11" s="86">
        <f t="shared" si="0"/>
        <v>16240</v>
      </c>
      <c r="Q11" s="413">
        <f>IFERROR(SUM(P11:P12)/COUNTA(K11:K12),"")</f>
        <v>15709.6</v>
      </c>
      <c r="R11" s="411">
        <f>IFERROR(_xlfn.STDEV.S(L11:L12),"")</f>
        <v>750.0988734826891</v>
      </c>
      <c r="S11" s="415">
        <f>IFERROR(R11/M11,"")</f>
        <v>4.7747802202646093E-2</v>
      </c>
      <c r="T11" s="405" t="s">
        <v>1935</v>
      </c>
      <c r="U11" s="407">
        <f>M11</f>
        <v>15709.6</v>
      </c>
      <c r="V11" s="379"/>
    </row>
    <row r="12" spans="1:22" ht="50.25" customHeight="1" x14ac:dyDescent="0.3">
      <c r="A12" s="390"/>
      <c r="B12" s="392"/>
      <c r="C12" s="658"/>
      <c r="D12" s="420"/>
      <c r="E12" s="422"/>
      <c r="F12" s="422"/>
      <c r="G12" s="423"/>
      <c r="H12" s="145" t="s">
        <v>1936</v>
      </c>
      <c r="I12" s="22">
        <f>+'[2]Lote Agroindustria'!K4</f>
        <v>0</v>
      </c>
      <c r="J12" s="144">
        <f>+'[2]Lote Agroindustria'!L4</f>
        <v>0</v>
      </c>
      <c r="K12" s="89">
        <f>4980*1.04</f>
        <v>5179.2</v>
      </c>
      <c r="L12" s="5">
        <f>G11*K12+10000</f>
        <v>15179.2</v>
      </c>
      <c r="M12" s="412"/>
      <c r="N12" s="412"/>
      <c r="O12" s="412"/>
      <c r="P12" s="86">
        <f t="shared" si="0"/>
        <v>15179.2</v>
      </c>
      <c r="Q12" s="414"/>
      <c r="R12" s="412"/>
      <c r="S12" s="416"/>
      <c r="T12" s="439"/>
      <c r="U12" s="408"/>
      <c r="V12" s="379"/>
    </row>
    <row r="13" spans="1:22" ht="51" customHeight="1" x14ac:dyDescent="0.3">
      <c r="A13" s="389">
        <v>4</v>
      </c>
      <c r="B13" s="886">
        <f>+'[2]Lote Agroindustria'!B5</f>
        <v>50305301</v>
      </c>
      <c r="C13" s="889" t="str">
        <f>+'[2]Lote Agroindustria'!C5</f>
        <v>FRUTA FRESCA DURAZNO</v>
      </c>
      <c r="D13" s="419" t="str">
        <f>+'[2]Lote Agroindustria'!D5</f>
        <v>Fruta firme, sin magulladuras, calibre homogéneo</v>
      </c>
      <c r="E13" s="421" t="s">
        <v>65</v>
      </c>
      <c r="F13" s="421" t="s">
        <v>290</v>
      </c>
      <c r="G13" s="391">
        <v>1</v>
      </c>
      <c r="H13" s="143" t="s">
        <v>1934</v>
      </c>
      <c r="I13" s="22">
        <f>+'[2]Lote Agroindustria'!G5</f>
        <v>0</v>
      </c>
      <c r="J13" s="144">
        <f>+'[2]Lote Agroindustria'!H5</f>
        <v>0</v>
      </c>
      <c r="K13" s="89">
        <f>21670*1.04</f>
        <v>22536.799999999999</v>
      </c>
      <c r="L13" s="5">
        <f t="shared" si="1"/>
        <v>32536.799999999999</v>
      </c>
      <c r="M13" s="411">
        <f t="shared" ref="M13" si="2">IFERROR(AVERAGE(L13:L14),"")</f>
        <v>31096.400000000001</v>
      </c>
      <c r="N13" s="411">
        <f>IFERROR(HARMEAN(L13:L14),"")</f>
        <v>31029.67998868036</v>
      </c>
      <c r="O13" s="411">
        <f>IFERROR(MEDIAN(L13:L14),"")</f>
        <v>31096.400000000001</v>
      </c>
      <c r="P13" s="86">
        <f t="shared" si="0"/>
        <v>32536.799999999999</v>
      </c>
      <c r="Q13" s="413">
        <f>IFERROR(SUM(P13:P14)/COUNTA(K13:K14),"")</f>
        <v>31096.400000000001</v>
      </c>
      <c r="R13" s="411">
        <f>IFERROR(_xlfn.STDEV.S(L13:L14),"")</f>
        <v>2037.0332152422054</v>
      </c>
      <c r="S13" s="415">
        <f>IFERROR(R13/M13,"")</f>
        <v>6.5507043106025301E-2</v>
      </c>
      <c r="T13" s="405" t="s">
        <v>1935</v>
      </c>
      <c r="U13" s="407">
        <f>M13</f>
        <v>31096.400000000001</v>
      </c>
      <c r="V13" s="770"/>
    </row>
    <row r="14" spans="1:22" ht="60" customHeight="1" x14ac:dyDescent="0.3">
      <c r="A14" s="390"/>
      <c r="B14" s="392"/>
      <c r="C14" s="658"/>
      <c r="D14" s="420"/>
      <c r="E14" s="422"/>
      <c r="F14" s="422"/>
      <c r="G14" s="423"/>
      <c r="H14" s="145" t="s">
        <v>1936</v>
      </c>
      <c r="I14" s="22">
        <f>+'[2]Lote Agroindustria'!K5</f>
        <v>0</v>
      </c>
      <c r="J14" s="144">
        <f>+'[2]Lote Agroindustria'!L5</f>
        <v>0</v>
      </c>
      <c r="K14" s="89">
        <f>18900*1.04</f>
        <v>19656</v>
      </c>
      <c r="L14" s="5">
        <f>G13*K14+10000</f>
        <v>29656</v>
      </c>
      <c r="M14" s="412"/>
      <c r="N14" s="412"/>
      <c r="O14" s="412"/>
      <c r="P14" s="86">
        <f t="shared" si="0"/>
        <v>29656</v>
      </c>
      <c r="Q14" s="414"/>
      <c r="R14" s="412"/>
      <c r="S14" s="416"/>
      <c r="T14" s="406"/>
      <c r="U14" s="408"/>
      <c r="V14" s="770"/>
    </row>
    <row r="15" spans="1:22" ht="56.25" customHeight="1" x14ac:dyDescent="0.3">
      <c r="A15" s="389">
        <v>5</v>
      </c>
      <c r="B15" s="886">
        <f>+'[2]Lote Agroindustria'!B6</f>
        <v>50304524</v>
      </c>
      <c r="C15" s="889" t="str">
        <f>+'[2]Lote Agroindustria'!C6</f>
        <v>FRUTA FRESCA MANGO TOMMY</v>
      </c>
      <c r="D15" s="419" t="str">
        <f>+'[2]Lote Agroindustria'!D6</f>
        <v>Madurez intermedia, pulpa firme, sin exudados; sin daños fisiológicos; calibre medio</v>
      </c>
      <c r="E15" s="421" t="s">
        <v>65</v>
      </c>
      <c r="F15" s="421" t="s">
        <v>290</v>
      </c>
      <c r="G15" s="391">
        <v>1</v>
      </c>
      <c r="H15" s="143" t="s">
        <v>1934</v>
      </c>
      <c r="I15" s="22">
        <f>+'[2]Lote Agroindustria'!G6</f>
        <v>0</v>
      </c>
      <c r="J15" s="144">
        <f>+'[2]Lote Agroindustria'!H6</f>
        <v>0</v>
      </c>
      <c r="K15" s="89">
        <f>4750*1.04</f>
        <v>4940</v>
      </c>
      <c r="L15" s="5">
        <f t="shared" si="1"/>
        <v>14940</v>
      </c>
      <c r="M15" s="411">
        <f t="shared" ref="M15" si="3">IFERROR(AVERAGE(L15:L16),"")</f>
        <v>16567.599999999999</v>
      </c>
      <c r="N15" s="411">
        <f>IFERROR(HARMEAN(L15:L16),"")</f>
        <v>16407.704676597696</v>
      </c>
      <c r="O15" s="411">
        <f>IFERROR(MEDIAN(L15:L16),"")</f>
        <v>16567.599999999999</v>
      </c>
      <c r="P15" s="86">
        <f t="shared" si="0"/>
        <v>14940</v>
      </c>
      <c r="Q15" s="413">
        <f>IFERROR(SUM(P15:P16)/COUNTA(K15:K16),"")</f>
        <v>16567.599999999999</v>
      </c>
      <c r="R15" s="411">
        <f>IFERROR(_xlfn.STDEV.S(L15:L16),"")</f>
        <v>2301.77399411845</v>
      </c>
      <c r="S15" s="415">
        <f>IFERROR(R15/M15,"")</f>
        <v>0.13893225295869349</v>
      </c>
      <c r="T15" s="405" t="s">
        <v>1935</v>
      </c>
      <c r="U15" s="407">
        <f>M15</f>
        <v>16567.599999999999</v>
      </c>
      <c r="V15" s="770"/>
    </row>
    <row r="16" spans="1:22" ht="69" customHeight="1" x14ac:dyDescent="0.3">
      <c r="A16" s="390"/>
      <c r="B16" s="392"/>
      <c r="C16" s="658"/>
      <c r="D16" s="420"/>
      <c r="E16" s="422"/>
      <c r="F16" s="422"/>
      <c r="G16" s="423"/>
      <c r="H16" s="145" t="s">
        <v>1936</v>
      </c>
      <c r="I16" s="22">
        <f>+'[2]Lote Agroindustria'!K6</f>
        <v>0</v>
      </c>
      <c r="J16" s="144">
        <f>+'[2]Lote Agroindustria'!L6</f>
        <v>0</v>
      </c>
      <c r="K16" s="89">
        <f>7880*1.04</f>
        <v>8195.2000000000007</v>
      </c>
      <c r="L16" s="5">
        <f>G15*K16+10000</f>
        <v>18195.2</v>
      </c>
      <c r="M16" s="412"/>
      <c r="N16" s="412"/>
      <c r="O16" s="412"/>
      <c r="P16" s="86">
        <f t="shared" si="0"/>
        <v>18195.2</v>
      </c>
      <c r="Q16" s="414"/>
      <c r="R16" s="412"/>
      <c r="S16" s="416"/>
      <c r="T16" s="406"/>
      <c r="U16" s="408"/>
      <c r="V16" s="770"/>
    </row>
    <row r="17" spans="1:22" ht="78.75" customHeight="1" x14ac:dyDescent="0.3">
      <c r="A17" s="389">
        <v>6</v>
      </c>
      <c r="B17" s="886">
        <f>+'[2]Lote Agroindustria'!B7</f>
        <v>50302701</v>
      </c>
      <c r="C17" s="419" t="str">
        <f>+'[2]Lote Agroindustria'!C7</f>
        <v>FRUTA FRESCA ARANDÁNOS
 Empacada en estuche x 125 g</v>
      </c>
      <c r="D17" s="419" t="str">
        <f>+'[2]Lote Agroindustria'!D7</f>
        <v>Baya globosa de color negro azulado cuyo diámetro se
encuentra entre los 6mm y los 15mm. Empacada en estuche x 125 g; sin cuerpos extraños, ni daños fisiologicos</v>
      </c>
      <c r="E17" s="421" t="s">
        <v>108</v>
      </c>
      <c r="F17" s="421" t="s">
        <v>290</v>
      </c>
      <c r="G17" s="391">
        <v>1</v>
      </c>
      <c r="H17" s="143" t="s">
        <v>1934</v>
      </c>
      <c r="I17" s="22">
        <f>+'[2]Lote Agroindustria'!G6</f>
        <v>0</v>
      </c>
      <c r="J17" s="144">
        <f>+'[2]Lote Agroindustria'!H6</f>
        <v>0</v>
      </c>
      <c r="K17" s="89">
        <f>8980*1.04</f>
        <v>9339.2000000000007</v>
      </c>
      <c r="L17" s="5">
        <f>G17*K17+10000</f>
        <v>19339.2</v>
      </c>
      <c r="M17" s="411">
        <f>IFERROR(AVERAGE(L17:L18),"")</f>
        <v>19386</v>
      </c>
      <c r="N17" s="411">
        <f>IFERROR(HARMEAN(L17:L18),"")</f>
        <v>19385.887019498608</v>
      </c>
      <c r="O17" s="411">
        <f>IFERROR(MEDIAN(L17:L18),"")</f>
        <v>19386</v>
      </c>
      <c r="P17" s="86">
        <f t="shared" si="0"/>
        <v>19339.2</v>
      </c>
      <c r="Q17" s="413">
        <f>IFERROR(SUM(P17:P18)/COUNTA(K17:K18),"")</f>
        <v>19386</v>
      </c>
      <c r="R17" s="411">
        <f>IFERROR(_xlfn.STDEV.S(L17:L18),"")</f>
        <v>66.185194719062395</v>
      </c>
      <c r="S17" s="415">
        <f>IFERROR(R17/M17,"")</f>
        <v>3.4140717383195291E-3</v>
      </c>
      <c r="T17" s="405" t="s">
        <v>1935</v>
      </c>
      <c r="U17" s="407">
        <f>M17</f>
        <v>19386</v>
      </c>
      <c r="V17" s="379"/>
    </row>
    <row r="18" spans="1:22" ht="70.5" customHeight="1" x14ac:dyDescent="0.3">
      <c r="A18" s="390"/>
      <c r="B18" s="392"/>
      <c r="C18" s="420"/>
      <c r="D18" s="420"/>
      <c r="E18" s="422"/>
      <c r="F18" s="422"/>
      <c r="G18" s="423"/>
      <c r="H18" s="145" t="s">
        <v>1936</v>
      </c>
      <c r="I18" s="22">
        <f>+'[2]Lote Agroindustria'!K7</f>
        <v>0</v>
      </c>
      <c r="J18" s="144">
        <f>+'[2]Lote Agroindustria'!L7</f>
        <v>0</v>
      </c>
      <c r="K18" s="89">
        <f>9070*1.04</f>
        <v>9432.8000000000011</v>
      </c>
      <c r="L18" s="5">
        <f>G17*K18+10000</f>
        <v>19432.800000000003</v>
      </c>
      <c r="M18" s="412"/>
      <c r="N18" s="412"/>
      <c r="O18" s="412"/>
      <c r="P18" s="86">
        <f t="shared" si="0"/>
        <v>19432.800000000003</v>
      </c>
      <c r="Q18" s="414"/>
      <c r="R18" s="412"/>
      <c r="S18" s="416"/>
      <c r="T18" s="406"/>
      <c r="U18" s="408"/>
      <c r="V18" s="379"/>
    </row>
    <row r="19" spans="1:22" ht="55.5" customHeight="1" x14ac:dyDescent="0.3">
      <c r="A19" s="389">
        <v>7</v>
      </c>
      <c r="B19" s="886">
        <f>+'[2]Lote Agroindustria'!B8</f>
        <v>50304101</v>
      </c>
      <c r="C19" s="419" t="str">
        <f>+'[2]Lote Agroindustria'!C8</f>
        <v>FRUTA FRESCA LIMÓN</v>
      </c>
      <c r="D19" s="419" t="str">
        <f>+'[2]Lote Agroindustria'!D8</f>
        <v>Fruta cítrica, carnosa y semiácida. Forma esférica u ovalada, con cáscara gruesa y lisa. Tamaño: Varía de 5 a 25 cm de largo (según variedad). Peso: Variable, comúnmente entre 50 gr o más por unidad.  Libres de humedad externa anormal, tierra, plagas o residuos de agroquímicos</v>
      </c>
      <c r="E19" s="421" t="s">
        <v>65</v>
      </c>
      <c r="F19" s="421" t="s">
        <v>290</v>
      </c>
      <c r="G19" s="391">
        <v>1</v>
      </c>
      <c r="H19" s="143" t="s">
        <v>1934</v>
      </c>
      <c r="I19" s="22">
        <f>+'[2]Lote Agroindustria'!G8</f>
        <v>0</v>
      </c>
      <c r="J19" s="144">
        <f>+'[2]Lote Agroindustria'!H8</f>
        <v>0</v>
      </c>
      <c r="K19" s="89">
        <f>5000*1.04</f>
        <v>5200</v>
      </c>
      <c r="L19" s="5">
        <f t="shared" si="1"/>
        <v>15200</v>
      </c>
      <c r="M19" s="411">
        <f t="shared" ref="M19" si="4">IFERROR(AVERAGE(L19:L20),"")</f>
        <v>16437.599999999999</v>
      </c>
      <c r="N19" s="411">
        <f>IFERROR(HARMEAN(L19:L20),"")</f>
        <v>16344.420109991726</v>
      </c>
      <c r="O19" s="411">
        <f>IFERROR(MEDIAN(L19:L20),"")</f>
        <v>16437.599999999999</v>
      </c>
      <c r="P19" s="86">
        <f t="shared" si="0"/>
        <v>15200</v>
      </c>
      <c r="Q19" s="413">
        <f>IFERROR(SUM(P19:P20)/COUNTA(K19:K20),"")</f>
        <v>16437.599999999999</v>
      </c>
      <c r="R19" s="411">
        <f>IFERROR(_xlfn.STDEV.S(L19:L20),"")</f>
        <v>1750.2307047929428</v>
      </c>
      <c r="S19" s="415">
        <f>IFERROR(R19/M19,"")</f>
        <v>0.10647726582913217</v>
      </c>
      <c r="T19" s="405" t="s">
        <v>1935</v>
      </c>
      <c r="U19" s="407">
        <f>M19</f>
        <v>16437.599999999999</v>
      </c>
      <c r="V19" s="379"/>
    </row>
    <row r="20" spans="1:22" ht="61.5" customHeight="1" x14ac:dyDescent="0.3">
      <c r="A20" s="390"/>
      <c r="B20" s="392"/>
      <c r="C20" s="420"/>
      <c r="D20" s="420"/>
      <c r="E20" s="422"/>
      <c r="F20" s="422"/>
      <c r="G20" s="423"/>
      <c r="H20" s="145" t="s">
        <v>1936</v>
      </c>
      <c r="I20" s="22">
        <f>+'[2]Lote Agroindustria'!K8</f>
        <v>0</v>
      </c>
      <c r="J20" s="144">
        <f>+'[2]Lote Agroindustria'!L8</f>
        <v>0</v>
      </c>
      <c r="K20" s="89">
        <f>7380*1.04</f>
        <v>7675.2</v>
      </c>
      <c r="L20" s="5">
        <f>G19*K20+10000</f>
        <v>17675.2</v>
      </c>
      <c r="M20" s="412"/>
      <c r="N20" s="412"/>
      <c r="O20" s="412"/>
      <c r="P20" s="86">
        <f t="shared" si="0"/>
        <v>17675.2</v>
      </c>
      <c r="Q20" s="414"/>
      <c r="R20" s="412"/>
      <c r="S20" s="416"/>
      <c r="T20" s="406"/>
      <c r="U20" s="408"/>
      <c r="V20" s="379"/>
    </row>
    <row r="21" spans="1:22" ht="58.5" customHeight="1" x14ac:dyDescent="0.3">
      <c r="A21" s="389">
        <v>8</v>
      </c>
      <c r="B21" s="886">
        <f>+'[2]Lote Agroindustria'!B9</f>
        <v>50305011</v>
      </c>
      <c r="C21" s="419" t="str">
        <f>+'[2]Lote Agroindustria'!C9</f>
        <v>FRUTA FRESCA NARANJA CALIFORNIA NAVEL</v>
      </c>
      <c r="D21" s="419" t="str">
        <f>+'[2]Lote Agroindustria'!D9</f>
        <v>Fruto redondeado a ligeramente alargado con un "ombligo" característico en el ápice. Piel (Corteza): Grosor medio, de textura suave a ligeramente rugosa y fácil de pelar. Calibres y Peso: Generalmente grandes. Calibres comunes oscilan entre 76 y 80 mm de diámetro. El peso unitario promedio está entre 210 y 240 g</v>
      </c>
      <c r="E21" s="421" t="s">
        <v>65</v>
      </c>
      <c r="F21" s="421" t="s">
        <v>290</v>
      </c>
      <c r="G21" s="391">
        <v>1</v>
      </c>
      <c r="H21" s="143" t="s">
        <v>1937</v>
      </c>
      <c r="I21" s="22">
        <f>+'[2]Lote Agroindustria'!G9</f>
        <v>0</v>
      </c>
      <c r="J21" s="144">
        <f>+'[2]Lote Agroindustria'!H9</f>
        <v>0</v>
      </c>
      <c r="K21" s="89">
        <f>8267*1.04</f>
        <v>8597.68</v>
      </c>
      <c r="L21" s="5">
        <f t="shared" si="1"/>
        <v>18597.68</v>
      </c>
      <c r="M21" s="411">
        <f t="shared" ref="M21" si="5">IFERROR(AVERAGE(L21:L22),"")</f>
        <v>21006.84</v>
      </c>
      <c r="N21" s="411">
        <f>IFERROR(HARMEAN(L21:L22),"")</f>
        <v>20730.546568641454</v>
      </c>
      <c r="O21" s="411">
        <f>IFERROR(MEDIAN(L21:L22),"")</f>
        <v>21006.84</v>
      </c>
      <c r="P21" s="86">
        <f t="shared" si="0"/>
        <v>18597.68</v>
      </c>
      <c r="Q21" s="413">
        <f>IFERROR(SUM(P21:P22)/COUNTA(K21:K22),"")</f>
        <v>21006.84</v>
      </c>
      <c r="R21" s="411">
        <f>IFERROR(_xlfn.STDEV.S(L21:L22),"")</f>
        <v>3407.0667459267688</v>
      </c>
      <c r="S21" s="415">
        <f>IFERROR(R21/M21,"")</f>
        <v>0.16218844652155054</v>
      </c>
      <c r="T21" s="405" t="s">
        <v>1938</v>
      </c>
      <c r="U21" s="407">
        <f>M21</f>
        <v>21006.84</v>
      </c>
      <c r="V21" s="379"/>
    </row>
    <row r="22" spans="1:22" ht="60" customHeight="1" x14ac:dyDescent="0.3">
      <c r="A22" s="390"/>
      <c r="B22" s="392"/>
      <c r="C22" s="420"/>
      <c r="D22" s="420"/>
      <c r="E22" s="422"/>
      <c r="F22" s="422"/>
      <c r="G22" s="423"/>
      <c r="H22" s="145" t="s">
        <v>1936</v>
      </c>
      <c r="I22" s="22">
        <f>+'[2]Lote Agroindustria'!K9</f>
        <v>0</v>
      </c>
      <c r="J22" s="144">
        <f>+'[2]Lote Agroindustria'!L9</f>
        <v>0</v>
      </c>
      <c r="K22" s="89">
        <f>12900*1.04</f>
        <v>13416</v>
      </c>
      <c r="L22" s="5">
        <f>G21*K22+10000</f>
        <v>23416</v>
      </c>
      <c r="M22" s="412"/>
      <c r="N22" s="412"/>
      <c r="O22" s="412"/>
      <c r="P22" s="86">
        <f t="shared" si="0"/>
        <v>23416</v>
      </c>
      <c r="Q22" s="414"/>
      <c r="R22" s="412"/>
      <c r="S22" s="416"/>
      <c r="T22" s="406"/>
      <c r="U22" s="408"/>
      <c r="V22" s="379"/>
    </row>
    <row r="23" spans="1:22" ht="61.5" customHeight="1" x14ac:dyDescent="0.3">
      <c r="A23" s="389">
        <v>9</v>
      </c>
      <c r="B23" s="886">
        <f>+'[2]Lote Agroindustria'!B10</f>
        <v>50305207</v>
      </c>
      <c r="C23" s="419" t="str">
        <f>+'[2]Lote Agroindustria'!C10</f>
        <v>FRUTA FRESCA MARACUYA</v>
      </c>
      <c r="D23" s="419" t="str">
        <f>+'[2]Lote Agroindustria'!D10</f>
        <v>Fruta de forma redonda u ovalada, con cáscara dura, lisa (o rugosa al madurar) de color amarillo brillante. Grados Brix (Madurez): Superior a 13° - 14° (indica dulzura).</v>
      </c>
      <c r="E23" s="421" t="s">
        <v>65</v>
      </c>
      <c r="F23" s="421" t="s">
        <v>290</v>
      </c>
      <c r="G23" s="391">
        <v>1</v>
      </c>
      <c r="H23" s="143" t="s">
        <v>1937</v>
      </c>
      <c r="I23" s="22">
        <f>+'[2]Lote Agroindustria'!G17</f>
        <v>0</v>
      </c>
      <c r="J23" s="144">
        <f>+'[2]Lote Agroindustria'!H17</f>
        <v>0</v>
      </c>
      <c r="K23" s="89">
        <f>16400*1.04</f>
        <v>17056</v>
      </c>
      <c r="L23" s="5">
        <f>G23*K23+10000</f>
        <v>27056</v>
      </c>
      <c r="M23" s="411">
        <f t="shared" ref="M23" si="6">IFERROR(AVERAGE(L23:L24),"")</f>
        <v>23197.599999999999</v>
      </c>
      <c r="N23" s="411">
        <f>IFERROR(HARMEAN(L23:L24),"")</f>
        <v>22555.841776735524</v>
      </c>
      <c r="O23" s="411">
        <f>IFERROR(MEDIAN(L23:L24),"")</f>
        <v>23197.599999999999</v>
      </c>
      <c r="P23" s="86">
        <f t="shared" si="0"/>
        <v>27056</v>
      </c>
      <c r="Q23" s="413">
        <f>IFERROR(SUM(P23:P24)/COUNTA(K23:K24),"")</f>
        <v>23197.599999999999</v>
      </c>
      <c r="R23" s="411">
        <f>IFERROR(_xlfn.STDEV.S(L23:L24),"")</f>
        <v>5456.6016090603616</v>
      </c>
      <c r="S23" s="415">
        <f>IFERROR(R23/M23,"")</f>
        <v>0.23522267859866375</v>
      </c>
      <c r="T23" s="405" t="s">
        <v>1938</v>
      </c>
      <c r="U23" s="407">
        <f>M23</f>
        <v>23197.599999999999</v>
      </c>
      <c r="V23" s="379"/>
    </row>
    <row r="24" spans="1:22" ht="63.75" customHeight="1" x14ac:dyDescent="0.3">
      <c r="A24" s="390"/>
      <c r="B24" s="392"/>
      <c r="C24" s="420"/>
      <c r="D24" s="420"/>
      <c r="E24" s="422"/>
      <c r="F24" s="422"/>
      <c r="G24" s="423"/>
      <c r="H24" s="145" t="s">
        <v>1936</v>
      </c>
      <c r="I24" s="22">
        <f>+'[2]Lote Agroindustria'!K17</f>
        <v>0</v>
      </c>
      <c r="J24" s="144">
        <f>+'[2]Lote Agroindustria'!L17</f>
        <v>0</v>
      </c>
      <c r="K24" s="89">
        <f>8980*1.04</f>
        <v>9339.2000000000007</v>
      </c>
      <c r="L24" s="5">
        <f>G23*K24+10000</f>
        <v>19339.2</v>
      </c>
      <c r="M24" s="412"/>
      <c r="N24" s="412"/>
      <c r="O24" s="412"/>
      <c r="P24" s="86">
        <f t="shared" si="0"/>
        <v>19339.2</v>
      </c>
      <c r="Q24" s="414"/>
      <c r="R24" s="412"/>
      <c r="S24" s="416"/>
      <c r="T24" s="406"/>
      <c r="U24" s="408"/>
      <c r="V24" s="379"/>
    </row>
    <row r="25" spans="1:22" ht="59.25" customHeight="1" x14ac:dyDescent="0.3">
      <c r="A25" s="389">
        <v>10</v>
      </c>
      <c r="B25" s="886">
        <f>+'[2]Lote Agroindustria'!B11</f>
        <v>50161509</v>
      </c>
      <c r="C25" s="419" t="str">
        <f>+'[2]Lote Agroindustria'!C11</f>
        <v>AZUCAR BLANCA REFINADA
Empacado en bolsa x 2.5 kilos</v>
      </c>
      <c r="D25" s="419" t="str">
        <f>+'[2]Lote Agroindustria'!D11</f>
        <v>Azucar blanca refinado empacado en bolsa x 2.5 kilos 
Sacarosa ≥ 99.5%; granulometría media; grado alimentario</v>
      </c>
      <c r="E25" s="421" t="s">
        <v>65</v>
      </c>
      <c r="F25" s="421" t="s">
        <v>290</v>
      </c>
      <c r="G25" s="391">
        <v>1</v>
      </c>
      <c r="H25" s="143" t="s">
        <v>1937</v>
      </c>
      <c r="I25" s="22">
        <f>+'[2]Lote Agroindustria'!G11</f>
        <v>0</v>
      </c>
      <c r="J25" s="144">
        <f>+'[2]Lote Agroindustria'!H11</f>
        <v>0</v>
      </c>
      <c r="K25" s="89">
        <f>12450*1.04</f>
        <v>12948</v>
      </c>
      <c r="L25" s="5">
        <f>G25*K25+10000</f>
        <v>22948</v>
      </c>
      <c r="M25" s="411">
        <f t="shared" ref="M25" si="7">IFERROR(AVERAGE(L25:L26),"")</f>
        <v>16374</v>
      </c>
      <c r="N25" s="411">
        <f>IFERROR(HARMEAN(L25:L26),"")</f>
        <v>13734.603639916942</v>
      </c>
      <c r="O25" s="411">
        <f>IFERROR(MEDIAN(L25:L26),"")</f>
        <v>16374</v>
      </c>
      <c r="P25" s="86">
        <f t="shared" si="0"/>
        <v>22948</v>
      </c>
      <c r="Q25" s="413">
        <f>IFERROR(SUM(P25:P26)/COUNTA(K25:K26),"")</f>
        <v>16374</v>
      </c>
      <c r="R25" s="411">
        <f>IFERROR(_xlfn.STDEV.S(L25:L26),"")</f>
        <v>9297.0399590407269</v>
      </c>
      <c r="S25" s="415">
        <f>IFERROR(R25/M25,"")</f>
        <v>0.56779283980949835</v>
      </c>
      <c r="T25" s="405" t="s">
        <v>1939</v>
      </c>
      <c r="U25" s="407">
        <f>M25</f>
        <v>16374</v>
      </c>
      <c r="V25" s="379"/>
    </row>
    <row r="26" spans="1:22" ht="190.5" customHeight="1" x14ac:dyDescent="0.3">
      <c r="A26" s="390"/>
      <c r="B26" s="392"/>
      <c r="C26" s="420"/>
      <c r="D26" s="420"/>
      <c r="E26" s="422"/>
      <c r="F26" s="422"/>
      <c r="G26" s="423"/>
      <c r="H26" s="145" t="s">
        <v>1940</v>
      </c>
      <c r="I26" s="22">
        <f>+'[2]Lote Agroindustria'!K11</f>
        <v>0</v>
      </c>
      <c r="J26" s="144">
        <f>+'[2]Lote Agroindustria'!L11</f>
        <v>0</v>
      </c>
      <c r="K26" s="89">
        <v>9800</v>
      </c>
      <c r="L26" s="5">
        <f>K26*G25</f>
        <v>9800</v>
      </c>
      <c r="M26" s="412"/>
      <c r="N26" s="412"/>
      <c r="O26" s="412"/>
      <c r="P26" s="86">
        <f t="shared" si="0"/>
        <v>9800</v>
      </c>
      <c r="Q26" s="414"/>
      <c r="R26" s="412"/>
      <c r="S26" s="416"/>
      <c r="T26" s="406"/>
      <c r="U26" s="408"/>
      <c r="V26" s="379"/>
    </row>
    <row r="27" spans="1:22" ht="71.25" customHeight="1" x14ac:dyDescent="0.3">
      <c r="A27" s="389">
        <v>11</v>
      </c>
      <c r="B27" s="886">
        <f>+'[2]Lote Agroindustria'!B12</f>
        <v>12164501</v>
      </c>
      <c r="C27" s="419" t="str">
        <f>+'[2]Lote Agroindustria'!C12</f>
        <v>ÁCIDO CITRICO
Presentación bolsa x 250 g</v>
      </c>
      <c r="D27" s="419" t="str">
        <f>+'[2]Lote Agroindustria'!D12</f>
        <v>Producto sólido, para uso en la industria de alimentos.  
Pureza mínima del 99%, envasado en bolsas de 
polietileno, sellado herméticamente, rotulado con el 
nombre del producto, productor y/o envasador, peso, 
lote de producción, fecha de vencimiento superior a 
doce meses. Cumplir con la resolución 2606 de 2009 
y la NTC 1582. Presentación bolsa x 250 g</v>
      </c>
      <c r="E27" s="421" t="s">
        <v>108</v>
      </c>
      <c r="F27" s="421" t="s">
        <v>290</v>
      </c>
      <c r="G27" s="391">
        <v>1</v>
      </c>
      <c r="H27" s="145" t="s">
        <v>1940</v>
      </c>
      <c r="I27" s="22">
        <f>+'[2]Lote Agroindustria'!G12</f>
        <v>0</v>
      </c>
      <c r="J27" s="144">
        <f>+'[2]Lote Agroindustria'!H12</f>
        <v>0</v>
      </c>
      <c r="K27" s="89">
        <f>9875</f>
        <v>9875</v>
      </c>
      <c r="L27" s="146">
        <f>K27</f>
        <v>9875</v>
      </c>
      <c r="M27" s="411">
        <f t="shared" ref="M27" si="8">IFERROR(AVERAGE(L27:L28),"")</f>
        <v>16687.5</v>
      </c>
      <c r="N27" s="411">
        <f>IFERROR(HARMEAN(L27:L28),"")</f>
        <v>13906.3670411985</v>
      </c>
      <c r="O27" s="411">
        <f>IFERROR(MEDIAN(L27:L28),"")</f>
        <v>16687.5</v>
      </c>
      <c r="P27" s="86">
        <f t="shared" si="0"/>
        <v>9875</v>
      </c>
      <c r="Q27" s="413">
        <f>IFERROR(SUM(P27:P28)/COUNTA(K27:K28),"")</f>
        <v>16687.5</v>
      </c>
      <c r="R27" s="411">
        <f>IFERROR(_xlfn.STDEV.S(L27:L28),"")</f>
        <v>9634.3298936667106</v>
      </c>
      <c r="S27" s="415">
        <f>IFERROR(R27/M27,"")</f>
        <v>0.57733812096879167</v>
      </c>
      <c r="T27" s="405" t="s">
        <v>1941</v>
      </c>
      <c r="U27" s="407">
        <f>M27</f>
        <v>16687.5</v>
      </c>
      <c r="V27" s="379"/>
    </row>
    <row r="28" spans="1:22" ht="124.5" customHeight="1" x14ac:dyDescent="0.3">
      <c r="A28" s="390"/>
      <c r="B28" s="392"/>
      <c r="C28" s="420"/>
      <c r="D28" s="420"/>
      <c r="E28" s="422"/>
      <c r="F28" s="422"/>
      <c r="G28" s="423"/>
      <c r="H28" s="143" t="s">
        <v>1942</v>
      </c>
      <c r="I28" s="22">
        <f>'[2]Lote Agroindustria'!K12</f>
        <v>0</v>
      </c>
      <c r="J28" s="144">
        <f>+'[2]Lote Agroindustria'!L12</f>
        <v>0</v>
      </c>
      <c r="K28" s="89">
        <f>10000*1.04</f>
        <v>10400</v>
      </c>
      <c r="L28" s="146">
        <f>K28+13100</f>
        <v>23500</v>
      </c>
      <c r="M28" s="412"/>
      <c r="N28" s="412"/>
      <c r="O28" s="412"/>
      <c r="P28" s="86">
        <f t="shared" si="0"/>
        <v>23500</v>
      </c>
      <c r="Q28" s="414"/>
      <c r="R28" s="412"/>
      <c r="S28" s="416"/>
      <c r="T28" s="406"/>
      <c r="U28" s="408"/>
      <c r="V28" s="379"/>
    </row>
    <row r="29" spans="1:22" ht="63.75" customHeight="1" x14ac:dyDescent="0.3">
      <c r="A29" s="389">
        <v>12</v>
      </c>
      <c r="B29" s="886">
        <f>+'[2]Lote Agroindustria'!B13</f>
        <v>12161805</v>
      </c>
      <c r="C29" s="419" t="str">
        <f>+'[2]Lote Agroindustria'!C13</f>
        <v>Pectina cítrica
HM 150–200 SAG; grado alimentario.
Bolsa x 500 g</v>
      </c>
      <c r="D29" s="419" t="str">
        <f>+'[2]Lote Agroindustria'!D13</f>
        <v>Acción lenta, Polvo color blanco crema. Producto 
sólido, para uso en la industria de alimentos.  
Pureza mínima del 90%. Presentación kilogramo, 
envasado en bolsas de polietileno, sellado 
herméticamente, rotulado con el nombre del 
producto, productor y/o envasador, peso, lote de 
producción, fecha de vencimiento superior a doce 
meses; cumplir con la Resolución 2606 de 2009 y 
la NTC 1582.</v>
      </c>
      <c r="E29" s="421" t="s">
        <v>108</v>
      </c>
      <c r="F29" s="421" t="s">
        <v>290</v>
      </c>
      <c r="G29" s="391">
        <v>1</v>
      </c>
      <c r="H29" s="143" t="s">
        <v>1942</v>
      </c>
      <c r="I29" s="22">
        <f>+'[2]Lote Agroindustria'!G13</f>
        <v>0</v>
      </c>
      <c r="J29" s="144">
        <f>+'[2]Lote Agroindustria'!H13</f>
        <v>0</v>
      </c>
      <c r="K29" s="89">
        <f>109900*1.04</f>
        <v>114296</v>
      </c>
      <c r="L29" s="5">
        <f>K29+15700</f>
        <v>129996</v>
      </c>
      <c r="M29" s="411">
        <f t="shared" ref="M29" si="9">IFERROR(AVERAGE(L29:L30),"")</f>
        <v>113158</v>
      </c>
      <c r="N29" s="411">
        <f>IFERROR(HARMEAN(L29:L30),"")</f>
        <v>110652.49226744905</v>
      </c>
      <c r="O29" s="411">
        <f>IFERROR(MEDIAN(L29:L30),"")</f>
        <v>113158</v>
      </c>
      <c r="P29" s="86">
        <f t="shared" si="0"/>
        <v>129996</v>
      </c>
      <c r="Q29" s="413">
        <f>IFERROR(SUM(P29:P30)/COUNTA(K29:K30),"")</f>
        <v>113158</v>
      </c>
      <c r="R29" s="411">
        <f>IFERROR(_xlfn.STDEV.S(L29:L30),"")</f>
        <v>23812.527963238175</v>
      </c>
      <c r="S29" s="415">
        <f>IFERROR(R29/M29,"")</f>
        <v>0.21043609787410678</v>
      </c>
      <c r="T29" s="405" t="s">
        <v>1943</v>
      </c>
      <c r="U29" s="407">
        <f>M29</f>
        <v>113158</v>
      </c>
      <c r="V29" s="379"/>
    </row>
    <row r="30" spans="1:22" ht="69.75" customHeight="1" x14ac:dyDescent="0.3">
      <c r="A30" s="390"/>
      <c r="B30" s="392"/>
      <c r="C30" s="420"/>
      <c r="D30" s="420"/>
      <c r="E30" s="422"/>
      <c r="F30" s="422"/>
      <c r="G30" s="423"/>
      <c r="H30" s="145" t="s">
        <v>722</v>
      </c>
      <c r="I30" s="22">
        <f>+'[2]Lote Agroindustria'!K13</f>
        <v>0</v>
      </c>
      <c r="J30" s="144">
        <f>+'[2]Lote Agroindustria'!L13</f>
        <v>0</v>
      </c>
      <c r="K30" s="89">
        <f>83000*1.04</f>
        <v>86320</v>
      </c>
      <c r="L30" s="5">
        <f>K30+10000</f>
        <v>96320</v>
      </c>
      <c r="M30" s="412"/>
      <c r="N30" s="412"/>
      <c r="O30" s="412"/>
      <c r="P30" s="86">
        <f t="shared" si="0"/>
        <v>96320</v>
      </c>
      <c r="Q30" s="414"/>
      <c r="R30" s="412"/>
      <c r="S30" s="416"/>
      <c r="T30" s="406"/>
      <c r="U30" s="408"/>
      <c r="V30" s="379"/>
    </row>
    <row r="31" spans="1:22" ht="63.75" customHeight="1" x14ac:dyDescent="0.3">
      <c r="A31" s="389">
        <v>13</v>
      </c>
      <c r="B31" s="886">
        <f>+'[2]Lote Agroindustria'!B14</f>
        <v>50192405</v>
      </c>
      <c r="C31" s="419" t="str">
        <f>+'[2]Lote Agroindustria'!C14</f>
        <v>Gelatina Sin 
Sabor 
Bolsa x 500 g</v>
      </c>
      <c r="D31" s="419" t="str">
        <f>+'[2]Lote Agroindustria'!D14</f>
        <v>Tipo C. Producto sólido en polvo, para uso en la 
industria de alimentos. Pureza mínima del 90%. 
Presentación por kilogramo, envasado en bolsas 
de polietileno, sellado herméticamente. Rotulado 
con el nombre del producto, productor y/o 
envasador, peso, lote de producción, fecha de 
vencimiento superior a doce meses; cumplir con la 
resolución 2606 de 2009 y la NTC 1582.</v>
      </c>
      <c r="E31" s="421" t="s">
        <v>108</v>
      </c>
      <c r="F31" s="421" t="s">
        <v>290</v>
      </c>
      <c r="G31" s="391">
        <v>1</v>
      </c>
      <c r="H31" s="143" t="s">
        <v>1940</v>
      </c>
      <c r="I31" s="22">
        <f>+'[2]Lote Agroindustria'!G14</f>
        <v>0</v>
      </c>
      <c r="J31" s="144">
        <f>+'[2]Lote Agroindustria'!H14</f>
        <v>0</v>
      </c>
      <c r="K31" s="89">
        <f>24300</f>
        <v>24300</v>
      </c>
      <c r="L31" s="5">
        <f>K31</f>
        <v>24300</v>
      </c>
      <c r="M31" s="411">
        <f t="shared" ref="M31" si="10">IFERROR(AVERAGE(L31:L32),"")</f>
        <v>39494.800000000003</v>
      </c>
      <c r="N31" s="411">
        <f>IFERROR(HARMEAN(L31:L32),"")</f>
        <v>33648.917832220948</v>
      </c>
      <c r="O31" s="411">
        <f>IFERROR(MEDIAN(L31:L32),"")</f>
        <v>39494.800000000003</v>
      </c>
      <c r="P31" s="86">
        <f t="shared" si="0"/>
        <v>24300</v>
      </c>
      <c r="Q31" s="413">
        <f>IFERROR(SUM(P31:P32)/COUNTA(K31:K32),"")</f>
        <v>39494.800000000003</v>
      </c>
      <c r="R31" s="411">
        <f>IFERROR(_xlfn.STDEV.S(L31:L32),"")</f>
        <v>21488.692237546693</v>
      </c>
      <c r="S31" s="415">
        <f>IFERROR(R31/M31,"")</f>
        <v>0.54408915192751173</v>
      </c>
      <c r="T31" s="405" t="s">
        <v>1944</v>
      </c>
      <c r="U31" s="407">
        <f>M31</f>
        <v>39494.800000000003</v>
      </c>
      <c r="V31" s="379"/>
    </row>
    <row r="32" spans="1:22" ht="81.75" customHeight="1" x14ac:dyDescent="0.3">
      <c r="A32" s="390"/>
      <c r="B32" s="392"/>
      <c r="C32" s="420"/>
      <c r="D32" s="420"/>
      <c r="E32" s="422"/>
      <c r="F32" s="422"/>
      <c r="G32" s="423"/>
      <c r="H32" s="145" t="s">
        <v>722</v>
      </c>
      <c r="I32" s="22">
        <f>+'[2]Lote Agroindustria'!K14</f>
        <v>0</v>
      </c>
      <c r="J32" s="144">
        <f>+'[2]Lote Agroindustria'!L14</f>
        <v>0</v>
      </c>
      <c r="K32" s="89">
        <f>39990*1.04</f>
        <v>41589.599999999999</v>
      </c>
      <c r="L32" s="5">
        <f>K32+13100</f>
        <v>54689.599999999999</v>
      </c>
      <c r="M32" s="412"/>
      <c r="N32" s="412"/>
      <c r="O32" s="412"/>
      <c r="P32" s="86">
        <f t="shared" si="0"/>
        <v>54689.599999999999</v>
      </c>
      <c r="Q32" s="414"/>
      <c r="R32" s="412"/>
      <c r="S32" s="416"/>
      <c r="T32" s="406"/>
      <c r="U32" s="408"/>
      <c r="V32" s="379"/>
    </row>
    <row r="33" spans="1:22" ht="54.75" customHeight="1" x14ac:dyDescent="0.3">
      <c r="A33" s="389">
        <v>14</v>
      </c>
      <c r="B33" s="886">
        <f>+'[2]Lote Agroindustria'!B15</f>
        <v>50161509</v>
      </c>
      <c r="C33" s="419" t="str">
        <f>+'[2]Lote Agroindustria'!C15</f>
        <v>Glucosa 
Jarabe de 
Maíz
Presentación Recipiente plástico con tapa x 700 g</v>
      </c>
      <c r="D33" s="419" t="str">
        <f>+'[2]Lote Agroindustria'!D15</f>
        <v xml:space="preserve">Líquido espeso, incoloro o amarillento. Soluble en 
agua y glicerina. Ligeramente soluble en alcohol. 
Presentado en envase que garantice 
hermeticidad. Presentación Recipiente plástico con tapa x 700 g. </v>
      </c>
      <c r="E33" s="421" t="s">
        <v>108</v>
      </c>
      <c r="F33" s="421" t="s">
        <v>104</v>
      </c>
      <c r="G33" s="391">
        <v>1</v>
      </c>
      <c r="H33" s="143" t="s">
        <v>1940</v>
      </c>
      <c r="I33" s="22">
        <f>+'[2]Lote Agroindustria'!G15</f>
        <v>0</v>
      </c>
      <c r="J33" s="144">
        <f>+'[2]Lote Agroindustria'!H15</f>
        <v>0</v>
      </c>
      <c r="K33" s="89">
        <f>17000</f>
        <v>17000</v>
      </c>
      <c r="L33" s="5">
        <f>K33*G33</f>
        <v>17000</v>
      </c>
      <c r="M33" s="411">
        <f t="shared" ref="M33" si="11">IFERROR(AVERAGE(L33:L34),"")</f>
        <v>28008</v>
      </c>
      <c r="N33" s="411">
        <f>IFERROR(HARMEAN(L33:L34),"")</f>
        <v>23681.519565838331</v>
      </c>
      <c r="O33" s="411">
        <f>IFERROR(MEDIAN(L33:L34),"")</f>
        <v>28008</v>
      </c>
      <c r="P33" s="86">
        <f t="shared" si="0"/>
        <v>17000</v>
      </c>
      <c r="Q33" s="413">
        <f>IFERROR(SUM(P33:P34)/COUNTA(K33:K34),"")</f>
        <v>28008</v>
      </c>
      <c r="R33" s="411">
        <f>IFERROR(_xlfn.STDEV.S(L33:L34),"")</f>
        <v>15567.662894603031</v>
      </c>
      <c r="S33" s="415">
        <f>IFERROR(R33/M33,"")</f>
        <v>0.55582915219233897</v>
      </c>
      <c r="T33" s="405" t="s">
        <v>1944</v>
      </c>
      <c r="U33" s="407">
        <f>M33</f>
        <v>28008</v>
      </c>
      <c r="V33" s="379"/>
    </row>
    <row r="34" spans="1:22" ht="63" customHeight="1" x14ac:dyDescent="0.3">
      <c r="A34" s="390"/>
      <c r="B34" s="392"/>
      <c r="C34" s="420"/>
      <c r="D34" s="420"/>
      <c r="E34" s="422"/>
      <c r="F34" s="422"/>
      <c r="G34" s="423"/>
      <c r="H34" s="145" t="s">
        <v>722</v>
      </c>
      <c r="I34" s="22">
        <f>+'[2]Lote Agroindustria'!K15</f>
        <v>0</v>
      </c>
      <c r="J34" s="144">
        <f>+'[2]Lote Agroindustria'!L15</f>
        <v>0</v>
      </c>
      <c r="K34" s="89">
        <f>27900*1.04</f>
        <v>29016</v>
      </c>
      <c r="L34" s="5">
        <f>K34*G33+10000</f>
        <v>39016</v>
      </c>
      <c r="M34" s="412"/>
      <c r="N34" s="412"/>
      <c r="O34" s="412"/>
      <c r="P34" s="86">
        <f t="shared" si="0"/>
        <v>39016</v>
      </c>
      <c r="Q34" s="414"/>
      <c r="R34" s="412"/>
      <c r="S34" s="416"/>
      <c r="T34" s="406"/>
      <c r="U34" s="408"/>
      <c r="V34" s="379"/>
    </row>
    <row r="35" spans="1:22" ht="55.5" customHeight="1" x14ac:dyDescent="0.3">
      <c r="A35" s="389">
        <v>15</v>
      </c>
      <c r="B35" s="886">
        <f>+'[2]Lote Agroindustria'!B16</f>
        <v>50131701</v>
      </c>
      <c r="C35" s="419" t="str">
        <f>+'[2]Lote Agroindustria'!C16</f>
        <v>Mantequilla sin sal x 250 gramos</v>
      </c>
      <c r="D35" s="419" t="str">
        <f>+'[2]Lote Agroindustria'!D16</f>
        <v>Mantequilla de origen animal, sin sal, empacado en caja impresa  y envuelto en papel parafinado, rotulada con el nombre del producto, nombre del productor o empacador (marca comercial), fecha de empaque, peso, lote de producción y fecha de vencimiento.</v>
      </c>
      <c r="E35" s="421" t="s">
        <v>108</v>
      </c>
      <c r="F35" s="421" t="s">
        <v>290</v>
      </c>
      <c r="G35" s="391">
        <v>1</v>
      </c>
      <c r="H35" s="143" t="s">
        <v>1940</v>
      </c>
      <c r="I35" s="22">
        <f>+'[2]Lote Agroindustria'!G16</f>
        <v>0</v>
      </c>
      <c r="J35" s="144">
        <f>+'[2]Lote Agroindustria'!H16</f>
        <v>0</v>
      </c>
      <c r="K35" s="89">
        <f>13950</f>
        <v>13950</v>
      </c>
      <c r="L35" s="5">
        <f>K35*G35</f>
        <v>13950</v>
      </c>
      <c r="M35" s="411">
        <f t="shared" ref="M35" si="12">IFERROR(AVERAGE(L35:L36),"")</f>
        <v>22161.800000000003</v>
      </c>
      <c r="N35" s="411">
        <f>IFERROR(HARMEAN(L35:L36),"")</f>
        <v>19119.011993610628</v>
      </c>
      <c r="O35" s="411">
        <f>IFERROR(MEDIAN(L35:L36),"")</f>
        <v>22161.800000000003</v>
      </c>
      <c r="P35" s="86">
        <f t="shared" si="0"/>
        <v>13950</v>
      </c>
      <c r="Q35" s="413">
        <f>IFERROR(SUM(P35:P36)/COUNTA(K35:K36),"")</f>
        <v>22161.800000000003</v>
      </c>
      <c r="R35" s="411">
        <f>IFERROR(_xlfn.STDEV.S(L35:L36),"")</f>
        <v>11613.238931495373</v>
      </c>
      <c r="S35" s="415">
        <f>IFERROR(R35/M35,"")</f>
        <v>0.52402056383034645</v>
      </c>
      <c r="T35" s="405" t="s">
        <v>1945</v>
      </c>
      <c r="U35" s="407">
        <f>M35</f>
        <v>22161.800000000003</v>
      </c>
      <c r="V35" s="379"/>
    </row>
    <row r="36" spans="1:22" ht="58.5" customHeight="1" x14ac:dyDescent="0.3">
      <c r="A36" s="390"/>
      <c r="B36" s="392"/>
      <c r="C36" s="420"/>
      <c r="D36" s="420"/>
      <c r="E36" s="422"/>
      <c r="F36" s="422"/>
      <c r="G36" s="423"/>
      <c r="H36" s="145" t="s">
        <v>1936</v>
      </c>
      <c r="I36" s="22">
        <f>+'[2]Lote Agroindustria'!K16</f>
        <v>0</v>
      </c>
      <c r="J36" s="144">
        <f>+'[2]Lote Agroindustria'!L16</f>
        <v>0</v>
      </c>
      <c r="K36" s="89">
        <f>19590*1.04</f>
        <v>20373.600000000002</v>
      </c>
      <c r="L36" s="5">
        <f>K36*G35+10000</f>
        <v>30373.600000000002</v>
      </c>
      <c r="M36" s="412"/>
      <c r="N36" s="412"/>
      <c r="O36" s="412"/>
      <c r="P36" s="86">
        <f t="shared" si="0"/>
        <v>30373.600000000002</v>
      </c>
      <c r="Q36" s="414"/>
      <c r="R36" s="412"/>
      <c r="S36" s="416"/>
      <c r="T36" s="406"/>
      <c r="U36" s="408"/>
      <c r="V36" s="379"/>
    </row>
    <row r="37" spans="1:22" ht="63" customHeight="1" x14ac:dyDescent="0.3">
      <c r="A37" s="389">
        <v>16</v>
      </c>
      <c r="B37" s="886">
        <f>+'[2]Lote Agroindustria'!B17</f>
        <v>50131702</v>
      </c>
      <c r="C37" s="419" t="str">
        <f>+'[2]Lote Agroindustria'!C17</f>
        <v>Crema de leche light larga vida, bolsa x 180 
gramos</v>
      </c>
      <c r="D37" s="419" t="str">
        <f>+'[2]Lote Agroindustria'!D17</f>
        <v>Crema de leche con el 25% de grasa. el producto debe estar rotulado con el nombre del producto, productor y/o empacador (marca comercial), peso, lote de producción, fecha de vencimiento superior a doce meses, cumplir con la resolución 2606 de 2009,  el proveedor debe presentar ficha técnica del producto y presentar registro de importación en caso que aplique.</v>
      </c>
      <c r="E37" s="421" t="s">
        <v>108</v>
      </c>
      <c r="F37" s="421" t="s">
        <v>79</v>
      </c>
      <c r="G37" s="391">
        <v>1</v>
      </c>
      <c r="H37" s="143" t="s">
        <v>1937</v>
      </c>
      <c r="I37" s="22">
        <f>+'[2]Lote Agroindustria'!G17</f>
        <v>0</v>
      </c>
      <c r="J37" s="144">
        <f>+'[2]Lote Agroindustria'!H17</f>
        <v>0</v>
      </c>
      <c r="K37" s="89">
        <f>5870*1.04</f>
        <v>6104.8</v>
      </c>
      <c r="L37" s="5">
        <f>K37*G37+10000</f>
        <v>16104.8</v>
      </c>
      <c r="M37" s="411">
        <f t="shared" ref="M37" si="13">IFERROR(AVERAGE(L37:L38),"")</f>
        <v>16146.4</v>
      </c>
      <c r="N37" s="411">
        <f>IFERROR(HARMEAN(L37:L38),"")</f>
        <v>16146.292820690682</v>
      </c>
      <c r="O37" s="411">
        <f>IFERROR(MEDIAN(L37:L38),"")</f>
        <v>16146.4</v>
      </c>
      <c r="P37" s="86">
        <f t="shared" si="0"/>
        <v>16104.8</v>
      </c>
      <c r="Q37" s="413">
        <f>IFERROR(SUM(P37:P38)/COUNTA(K37:K38),"")</f>
        <v>16146.4</v>
      </c>
      <c r="R37" s="411">
        <f>IFERROR(_xlfn.STDEV.S(L37:L38),"")</f>
        <v>58.83128419472127</v>
      </c>
      <c r="S37" s="415">
        <f>IFERROR(R37/M37,"")</f>
        <v>3.6436161741763657E-3</v>
      </c>
      <c r="T37" s="405" t="s">
        <v>1938</v>
      </c>
      <c r="U37" s="407">
        <f>M37</f>
        <v>16146.4</v>
      </c>
      <c r="V37" s="379"/>
    </row>
    <row r="38" spans="1:22" ht="58.5" customHeight="1" x14ac:dyDescent="0.3">
      <c r="A38" s="390"/>
      <c r="B38" s="392"/>
      <c r="C38" s="420"/>
      <c r="D38" s="420"/>
      <c r="E38" s="422"/>
      <c r="F38" s="422"/>
      <c r="G38" s="423"/>
      <c r="H38" s="145" t="s">
        <v>1936</v>
      </c>
      <c r="I38" s="22">
        <f>+'[2]Lote Agroindustria'!K17</f>
        <v>0</v>
      </c>
      <c r="J38" s="144">
        <f>+'[2]Lote Agroindustria'!L17</f>
        <v>0</v>
      </c>
      <c r="K38" s="89">
        <f>5950*1.04</f>
        <v>6188</v>
      </c>
      <c r="L38" s="5">
        <f>K38*G37+10000</f>
        <v>16188</v>
      </c>
      <c r="M38" s="412"/>
      <c r="N38" s="412"/>
      <c r="O38" s="412"/>
      <c r="P38" s="86">
        <f t="shared" si="0"/>
        <v>16188</v>
      </c>
      <c r="Q38" s="414"/>
      <c r="R38" s="412"/>
      <c r="S38" s="416"/>
      <c r="T38" s="406"/>
      <c r="U38" s="408"/>
      <c r="V38" s="379"/>
    </row>
    <row r="39" spans="1:22" ht="56.25" customHeight="1" x14ac:dyDescent="0.3">
      <c r="A39" s="389">
        <v>17</v>
      </c>
      <c r="B39" s="886">
        <f>+'[2]Lote Agroindustria'!B18</f>
        <v>46181708</v>
      </c>
      <c r="C39" s="419" t="str">
        <f>+'[2]Lote Agroindustria'!C18</f>
        <v>Gorro desechable tipo oruga, paquete x 100 unidades</v>
      </c>
      <c r="D39" s="419" t="str">
        <f>+'[2]Lote Agroindustria'!D18</f>
        <v>Gorro desechables tipo oruga,  está diseñado en tela no tejida de polipropileno altamente transpirable y confortable con doble línea de elástico suave y resistente que no ejerce presión ensamblado por ultrasonido y libre de costuras; que permite la ventilación y cumple con la función de retener la caída del cabello, ofreciendo resistencia al desgarre o ruptura. Talla única. Color: blanco o celeste, según el solicitado.</v>
      </c>
      <c r="E39" s="421" t="s">
        <v>1698</v>
      </c>
      <c r="F39" s="421" t="s">
        <v>290</v>
      </c>
      <c r="G39" s="391">
        <v>1</v>
      </c>
      <c r="H39" s="145" t="s">
        <v>722</v>
      </c>
      <c r="I39" s="22">
        <f>+'[2]Lote Agroindustria'!G19</f>
        <v>0</v>
      </c>
      <c r="J39" s="144">
        <f>+'[2]Lote Agroindustria'!H19</f>
        <v>0</v>
      </c>
      <c r="K39" s="89">
        <f>69900*1.04</f>
        <v>72696</v>
      </c>
      <c r="L39" s="5">
        <f>K39*G39+10000</f>
        <v>82696</v>
      </c>
      <c r="M39" s="411">
        <f t="shared" ref="M39" si="14">IFERROR(AVERAGE(L39:L40),"")</f>
        <v>68656</v>
      </c>
      <c r="N39" s="411">
        <f>IFERROR(HARMEAN(L39:L40),"")</f>
        <v>65784.851083663481</v>
      </c>
      <c r="O39" s="411">
        <f>IFERROR(MEDIAN(L39:L40),"")</f>
        <v>68656</v>
      </c>
      <c r="P39" s="86">
        <f t="shared" si="0"/>
        <v>82696</v>
      </c>
      <c r="Q39" s="413">
        <f>IFERROR(SUM(P39:P40)/COUNTA(K39:K40),"")</f>
        <v>68656</v>
      </c>
      <c r="R39" s="411">
        <f>IFERROR(_xlfn.STDEV.S(L39:L40),"")</f>
        <v>19855.558415718253</v>
      </c>
      <c r="S39" s="415">
        <f>IFERROR(R39/M39,"")</f>
        <v>0.28920354252677483</v>
      </c>
      <c r="T39" s="405" t="s">
        <v>1946</v>
      </c>
      <c r="U39" s="407">
        <f>M39</f>
        <v>68656</v>
      </c>
      <c r="V39" s="379"/>
    </row>
    <row r="40" spans="1:22" ht="75.75" customHeight="1" x14ac:dyDescent="0.3">
      <c r="A40" s="390"/>
      <c r="B40" s="392"/>
      <c r="C40" s="420"/>
      <c r="D40" s="420"/>
      <c r="E40" s="422"/>
      <c r="F40" s="422"/>
      <c r="G40" s="423"/>
      <c r="H40" s="145" t="s">
        <v>73</v>
      </c>
      <c r="I40" s="22">
        <f>+'[2]Lote Agroindustria'!K19</f>
        <v>0</v>
      </c>
      <c r="J40" s="144">
        <f>+'[2]Lote Agroindustria'!L19</f>
        <v>0</v>
      </c>
      <c r="K40" s="89">
        <f>42900*1.04</f>
        <v>44616</v>
      </c>
      <c r="L40" s="5">
        <f>K40*G39+10000</f>
        <v>54616</v>
      </c>
      <c r="M40" s="412"/>
      <c r="N40" s="412"/>
      <c r="O40" s="412"/>
      <c r="P40" s="86">
        <f t="shared" si="0"/>
        <v>54616</v>
      </c>
      <c r="Q40" s="414"/>
      <c r="R40" s="412"/>
      <c r="S40" s="416"/>
      <c r="T40" s="406"/>
      <c r="U40" s="408"/>
      <c r="V40" s="379"/>
    </row>
    <row r="41" spans="1:22" ht="64.5" customHeight="1" x14ac:dyDescent="0.3">
      <c r="A41" s="389">
        <v>18</v>
      </c>
      <c r="B41" s="886">
        <f>+'[2]Lote Agroindustria'!B19</f>
        <v>46181541</v>
      </c>
      <c r="C41" s="419" t="str">
        <f>+'[2]Lote Agroindustria'!C19</f>
        <v>Guante de nitrilo calibre de 20 a 30ml
caja x 100 unidades</v>
      </c>
      <c r="D41" s="419" t="str">
        <f>+'[2]Lote Agroindustria'!D19</f>
        <v>Par de guantes de nitrilo, resistente a solventes compuesto de nitrilo. Calibre 20 a 30ml, están diseñados para manipular residuos peligrosos de todo tipo como los  inflamables, corrosivos, explosivos, biológicos y tóxicos, gracias a su elevada densidad. Material látex natural, alto rendimiento. hecho de materiales que cumplen con las normas de la FDA para el contacto con alimentos. Talla M</v>
      </c>
      <c r="E41" s="421" t="s">
        <v>1698</v>
      </c>
      <c r="F41" s="421" t="s">
        <v>373</v>
      </c>
      <c r="G41" s="391">
        <v>1</v>
      </c>
      <c r="H41" s="145" t="s">
        <v>73</v>
      </c>
      <c r="I41" s="22">
        <f>+'[2]Lote Agroindustria'!G21</f>
        <v>0</v>
      </c>
      <c r="J41" s="144">
        <f>+'[2]Lote Agroindustria'!H21</f>
        <v>0</v>
      </c>
      <c r="K41" s="89">
        <f>60900*1.04</f>
        <v>63336</v>
      </c>
      <c r="L41" s="5">
        <f>K41*G41+10000</f>
        <v>73336</v>
      </c>
      <c r="M41" s="411">
        <f t="shared" ref="M41" si="15">IFERROR(AVERAGE(L41:L42),"")</f>
        <v>65826.16</v>
      </c>
      <c r="N41" s="411">
        <f>IFERROR(HARMEAN(L41:L42),"")</f>
        <v>64969.392769075392</v>
      </c>
      <c r="O41" s="411">
        <f>IFERROR(MEDIAN(L41:L42),"")</f>
        <v>65826.16</v>
      </c>
      <c r="P41" s="86">
        <f t="shared" si="0"/>
        <v>73336</v>
      </c>
      <c r="Q41" s="413">
        <f>IFERROR(SUM(P41:P42)/COUNTA(K41:K42),"")</f>
        <v>65826.16</v>
      </c>
      <c r="R41" s="411">
        <f>IFERROR(_xlfn.STDEV.S(L41:L42),"")</f>
        <v>10620.517579251933</v>
      </c>
      <c r="S41" s="415">
        <f>IFERROR(R41/M41,"")</f>
        <v>0.16134189779947566</v>
      </c>
      <c r="T41" s="405" t="s">
        <v>1946</v>
      </c>
      <c r="U41" s="407">
        <f>M41</f>
        <v>65826.16</v>
      </c>
      <c r="V41" s="379"/>
    </row>
    <row r="42" spans="1:22" ht="54.75" customHeight="1" x14ac:dyDescent="0.3">
      <c r="A42" s="390"/>
      <c r="B42" s="392"/>
      <c r="C42" s="420"/>
      <c r="D42" s="420"/>
      <c r="E42" s="422"/>
      <c r="F42" s="422"/>
      <c r="G42" s="423"/>
      <c r="H42" s="145" t="s">
        <v>722</v>
      </c>
      <c r="I42" s="22">
        <f>+'[2]Lote Agroindustria'!K21</f>
        <v>0</v>
      </c>
      <c r="J42" s="144">
        <f>+'[2]Lote Agroindustria'!L21</f>
        <v>0</v>
      </c>
      <c r="K42" s="89">
        <f>46458*1.04</f>
        <v>48316.32</v>
      </c>
      <c r="L42" s="5">
        <f>K42*G41+10000</f>
        <v>58316.32</v>
      </c>
      <c r="M42" s="412"/>
      <c r="N42" s="412"/>
      <c r="O42" s="412"/>
      <c r="P42" s="86">
        <f t="shared" si="0"/>
        <v>58316.32</v>
      </c>
      <c r="Q42" s="414"/>
      <c r="R42" s="412"/>
      <c r="S42" s="416"/>
      <c r="T42" s="406"/>
      <c r="U42" s="408"/>
      <c r="V42" s="379"/>
    </row>
    <row r="43" spans="1:22" ht="54.75" customHeight="1" x14ac:dyDescent="0.3">
      <c r="A43" s="389">
        <v>19</v>
      </c>
      <c r="B43" s="886">
        <f>+'[2]Lote Agroindustria'!B20</f>
        <v>47131803</v>
      </c>
      <c r="C43" s="419" t="str">
        <f>+'[2]Lote Agroindustria'!C20</f>
        <v>Desinfectante amonio cuaternario x litro.</v>
      </c>
      <c r="D43" s="419" t="str">
        <f>+'[2]Lote Agroindustria'!D20</f>
        <v>Limpiador líquido germicida y bactericida en base de Amonio Cuaternario, tensoactivos, secuestrantes y desodorizantes mezclados en solución acuosa resistente a dilución en aguas duras por  galón. El Amonio cuaternario debe representar la familia de compuestos antimicrobianos, considerados como agentes activos catiónicos potentes.  Estabilidad de un año en condiciones normales de almacenamiento.  Fecha de vencimiento mínima de 1 año a partir de la entrega. Recipiente plastico con tapa x litro</v>
      </c>
      <c r="E43" s="421" t="s">
        <v>464</v>
      </c>
      <c r="F43" s="421" t="s">
        <v>104</v>
      </c>
      <c r="G43" s="391">
        <v>1</v>
      </c>
      <c r="H43" s="145" t="s">
        <v>722</v>
      </c>
      <c r="I43" s="22">
        <f>+'[2]Lote Agroindustria'!G23</f>
        <v>0</v>
      </c>
      <c r="J43" s="144">
        <f>+'[2]Lote Agroindustria'!H23</f>
        <v>0</v>
      </c>
      <c r="K43" s="89">
        <f>33300*1.04</f>
        <v>34632</v>
      </c>
      <c r="L43" s="5">
        <f>K43*G43+10000</f>
        <v>44632</v>
      </c>
      <c r="M43" s="411">
        <f t="shared" ref="M43" si="16">IFERROR(AVERAGE(L43:L44),"")</f>
        <v>35584</v>
      </c>
      <c r="N43" s="411">
        <f>IFERROR(HARMEAN(L43:L44),"")</f>
        <v>33283.350719424459</v>
      </c>
      <c r="O43" s="411">
        <f>IFERROR(MEDIAN(L43:L44),"")</f>
        <v>35584</v>
      </c>
      <c r="P43" s="86">
        <f t="shared" si="0"/>
        <v>44632</v>
      </c>
      <c r="Q43" s="413">
        <f>IFERROR(SUM(P43:P44)/COUNTA(K43:K44),"")</f>
        <v>35584</v>
      </c>
      <c r="R43" s="411">
        <f>IFERROR(_xlfn.STDEV.S(L43:L44),"")</f>
        <v>12795.804312351764</v>
      </c>
      <c r="S43" s="415">
        <f>IFERROR(R43/M43,"")</f>
        <v>0.35959432082823078</v>
      </c>
      <c r="T43" s="405" t="s">
        <v>1946</v>
      </c>
      <c r="U43" s="407">
        <f>M43</f>
        <v>35584</v>
      </c>
      <c r="V43" s="379"/>
    </row>
    <row r="44" spans="1:22" ht="54.75" customHeight="1" x14ac:dyDescent="0.3">
      <c r="A44" s="390"/>
      <c r="B44" s="392"/>
      <c r="C44" s="420"/>
      <c r="D44" s="420"/>
      <c r="E44" s="422"/>
      <c r="F44" s="422"/>
      <c r="G44" s="423"/>
      <c r="H44" s="145" t="s">
        <v>73</v>
      </c>
      <c r="I44" s="22">
        <f>+'[2]Lote Agroindustria'!K23</f>
        <v>0</v>
      </c>
      <c r="J44" s="144">
        <f>+'[2]Lote Agroindustria'!L23</f>
        <v>0</v>
      </c>
      <c r="K44" s="89">
        <f>15900*1.04</f>
        <v>16536</v>
      </c>
      <c r="L44" s="5">
        <f>K44*G43+10000</f>
        <v>26536</v>
      </c>
      <c r="M44" s="412"/>
      <c r="N44" s="412"/>
      <c r="O44" s="412"/>
      <c r="P44" s="86">
        <f t="shared" si="0"/>
        <v>26536</v>
      </c>
      <c r="Q44" s="414"/>
      <c r="R44" s="412"/>
      <c r="S44" s="416"/>
      <c r="T44" s="406"/>
      <c r="U44" s="408"/>
      <c r="V44" s="379"/>
    </row>
    <row r="45" spans="1:22" ht="58.5" customHeight="1" x14ac:dyDescent="0.3">
      <c r="A45" s="389">
        <v>20</v>
      </c>
      <c r="B45" s="886">
        <f>+'[2]Lote Agroindustria'!B21</f>
        <v>53131626</v>
      </c>
      <c r="C45" s="419" t="str">
        <f>+'[2]Lote Agroindustria'!C21</f>
        <v>Desinfectante en gel para manos
Frasco plastico con tapa dosificadora - dispensadora x litro</v>
      </c>
      <c r="D45" s="419" t="str">
        <f>+'[2]Lote Agroindustria'!D21</f>
        <v>Gel Sanitizador, antiséptico, desinfectante de aplicación externa, para manos;  elaborado con 100% etanol naturalmente renovable al 70%, sin fragancia, debe eliminar el 99% de los gérmenes más comunes al contacto, no requiere agua. El producto debe contar con la notificación sanitaria para cosméticos. Fecha de vencimiento mínima de 1 año a partir de la entrega. Frasco plastico con tapa dosificadora - dispensadora x litro</v>
      </c>
      <c r="E45" s="421" t="s">
        <v>464</v>
      </c>
      <c r="F45" s="421" t="s">
        <v>104</v>
      </c>
      <c r="G45" s="391">
        <v>1</v>
      </c>
      <c r="H45" s="145" t="s">
        <v>722</v>
      </c>
      <c r="I45" s="22">
        <f>+'[2]Lote Agroindustria'!G25</f>
        <v>0</v>
      </c>
      <c r="J45" s="144">
        <f>+'[2]Lote Agroindustria'!H25</f>
        <v>0</v>
      </c>
      <c r="K45" s="89">
        <f>36800*1.04</f>
        <v>38272</v>
      </c>
      <c r="L45" s="5">
        <f>K45*G45+10000</f>
        <v>48272</v>
      </c>
      <c r="M45" s="411">
        <f t="shared" ref="M45" si="17">IFERROR(AVERAGE(L45:L46),"")</f>
        <v>38444</v>
      </c>
      <c r="N45" s="411">
        <f>IFERROR(HARMEAN(L45:L46),"")</f>
        <v>35931.525127458124</v>
      </c>
      <c r="O45" s="411">
        <f>IFERROR(MEDIAN(L45:L46),"")</f>
        <v>38444</v>
      </c>
      <c r="P45" s="86">
        <f t="shared" si="0"/>
        <v>48272</v>
      </c>
      <c r="Q45" s="413">
        <f>IFERROR(SUM(P45:P46)/COUNTA(K45:K46),"")</f>
        <v>38444</v>
      </c>
      <c r="R45" s="411">
        <f>IFERROR(_xlfn.STDEV.S(L45:L46),"")</f>
        <v>13898.890891002779</v>
      </c>
      <c r="S45" s="415">
        <f>IFERROR(R45/M45,"")</f>
        <v>0.36153602359283055</v>
      </c>
      <c r="T45" s="405" t="s">
        <v>1946</v>
      </c>
      <c r="U45" s="407">
        <f>M45</f>
        <v>38444</v>
      </c>
      <c r="V45" s="379"/>
    </row>
    <row r="46" spans="1:22" ht="84" customHeight="1" x14ac:dyDescent="0.3">
      <c r="A46" s="390"/>
      <c r="B46" s="392"/>
      <c r="C46" s="420"/>
      <c r="D46" s="420"/>
      <c r="E46" s="422"/>
      <c r="F46" s="422"/>
      <c r="G46" s="423"/>
      <c r="H46" s="145" t="s">
        <v>73</v>
      </c>
      <c r="I46" s="22">
        <f>+'[2]Lote Agroindustria'!K25</f>
        <v>0</v>
      </c>
      <c r="J46" s="144">
        <f>+'[2]Lote Agroindustria'!L25</f>
        <v>0</v>
      </c>
      <c r="K46" s="89">
        <f>17900*1.04</f>
        <v>18616</v>
      </c>
      <c r="L46" s="5">
        <f>K46*G45+10000</f>
        <v>28616</v>
      </c>
      <c r="M46" s="412"/>
      <c r="N46" s="412"/>
      <c r="O46" s="412"/>
      <c r="P46" s="86">
        <f t="shared" si="0"/>
        <v>28616</v>
      </c>
      <c r="Q46" s="414"/>
      <c r="R46" s="412"/>
      <c r="S46" s="416"/>
      <c r="T46" s="406"/>
      <c r="U46" s="408"/>
      <c r="V46" s="379"/>
    </row>
    <row r="47" spans="1:22" ht="66.75" customHeight="1" x14ac:dyDescent="0.3">
      <c r="A47" s="389">
        <v>21</v>
      </c>
      <c r="B47" s="886">
        <f>+'[2]Lote Agroindustria'!B22</f>
        <v>53131608</v>
      </c>
      <c r="C47" s="419" t="str">
        <f>+'[2]Lote Agroindustria'!C22</f>
        <v>Jabón líquido antibacterial x litro.
Frasco plastico con tapa dosificadora - dispensadora x litro</v>
      </c>
      <c r="D47" s="419" t="str">
        <f>+'[2]Lote Agroindustria'!D22</f>
        <v>Jabón liquido desinfectante y  antibacterial de amplio espectro con agentes humectantes. útil para el lavado y desinfección de manos, no irritante, pH neutro, biodegradable, uso en empresas de alimentos, Incoloro, inoloro. El producto debe contar con la notificación sanitaria para cosmeticos. Fecha de vencimiento minimo 1 año a partir de la fecha de entrega. Frasco plastico con tapa dosificadora - dispensadora x litro</v>
      </c>
      <c r="E47" s="421" t="s">
        <v>464</v>
      </c>
      <c r="F47" s="421" t="s">
        <v>104</v>
      </c>
      <c r="G47" s="391">
        <v>1</v>
      </c>
      <c r="H47" s="145" t="s">
        <v>722</v>
      </c>
      <c r="I47" s="22">
        <f>+'[2]Lote Agroindustria'!G22</f>
        <v>0</v>
      </c>
      <c r="J47" s="144">
        <f>+'[2]Lote Agroindustria'!H22</f>
        <v>0</v>
      </c>
      <c r="K47" s="89">
        <f>23100*1.04</f>
        <v>24024</v>
      </c>
      <c r="L47" s="5">
        <f>K47*G47+10000</f>
        <v>34024</v>
      </c>
      <c r="M47" s="411">
        <f t="shared" ref="M47" si="18">IFERROR(AVERAGE(L47:L48),"")</f>
        <v>27160</v>
      </c>
      <c r="N47" s="411">
        <f>IFERROR(HARMEAN(L47:L48),"")</f>
        <v>25425.298379970547</v>
      </c>
      <c r="O47" s="411">
        <f>IFERROR(MEDIAN(L47:L48),"")</f>
        <v>27160</v>
      </c>
      <c r="P47" s="86">
        <f t="shared" si="0"/>
        <v>34024</v>
      </c>
      <c r="Q47" s="413">
        <f>IFERROR(SUM(P47:P48)/COUNTA(K47:K48),"")</f>
        <v>27160</v>
      </c>
      <c r="R47" s="411">
        <f>IFERROR(_xlfn.STDEV.S(L47:L48),"")</f>
        <v>9707.1618921289246</v>
      </c>
      <c r="S47" s="415">
        <f>IFERROR(R47/M47,"")</f>
        <v>0.35740654978383374</v>
      </c>
      <c r="T47" s="405" t="s">
        <v>1946</v>
      </c>
      <c r="U47" s="407">
        <f>M47</f>
        <v>27160</v>
      </c>
      <c r="V47" s="379"/>
    </row>
    <row r="48" spans="1:22" ht="91.5" customHeight="1" x14ac:dyDescent="0.3">
      <c r="A48" s="390"/>
      <c r="B48" s="392"/>
      <c r="C48" s="420"/>
      <c r="D48" s="420"/>
      <c r="E48" s="422"/>
      <c r="F48" s="422"/>
      <c r="G48" s="423"/>
      <c r="H48" s="145" t="s">
        <v>73</v>
      </c>
      <c r="I48" s="22">
        <f>+'[2]Lote Agroindustria'!K22</f>
        <v>0</v>
      </c>
      <c r="J48" s="144">
        <f>+'[2]Lote Agroindustria'!L22</f>
        <v>0</v>
      </c>
      <c r="K48" s="89">
        <f>9900*1.04</f>
        <v>10296</v>
      </c>
      <c r="L48" s="5">
        <f>K48*G47+10000</f>
        <v>20296</v>
      </c>
      <c r="M48" s="412"/>
      <c r="N48" s="412"/>
      <c r="O48" s="412"/>
      <c r="P48" s="86">
        <f t="shared" si="0"/>
        <v>20296</v>
      </c>
      <c r="Q48" s="414"/>
      <c r="R48" s="412"/>
      <c r="S48" s="416"/>
      <c r="T48" s="406"/>
      <c r="U48" s="408"/>
      <c r="V48" s="379"/>
    </row>
    <row r="49" spans="1:22" ht="84" customHeight="1" x14ac:dyDescent="0.3">
      <c r="A49" s="389">
        <v>22</v>
      </c>
      <c r="B49" s="886">
        <f>+'[2]Lote Agroindustria'!B23</f>
        <v>47131502</v>
      </c>
      <c r="C49" s="419" t="str">
        <f>+'[2]Lote Agroindustria'!C23</f>
        <v>Limpión desechable x 400 metros</v>
      </c>
      <c r="D49" s="419" t="str">
        <f>+'[2]Lote Agroindustria'!D23</f>
        <v>Toalla de papel absorbente, color natural, ideal para secado y impieza de superficies y utensilios en industrias de alimentos, no debe dejar residuos, absorbe todo tipo de liquidos y remueve la grasa. Elaborado con papel reciclabe, 100% higienico para limpiar y botar. Producto 100% biodegradabe. Diametro del rollo entre 299 y 301 mm, longitud mínima del rollo 400 m, Paquete por rollo 1 unidad, sin fragancia. Tiempo de vida util 2 años. Peso basico g/m2 minimo 29,5 - máximo 30,5.  Numero de hojas 1 unidad. Peso neto Unidad mínimo 4956 g Máximo 5166 g.  Fecha de vencimiento mínima de 1 año a partir de la entrega.  Rollo x 400 metros</v>
      </c>
      <c r="E49" s="421" t="s">
        <v>42</v>
      </c>
      <c r="F49" s="421" t="s">
        <v>72</v>
      </c>
      <c r="G49" s="391">
        <v>1</v>
      </c>
      <c r="H49" s="145" t="s">
        <v>722</v>
      </c>
      <c r="I49" s="22">
        <f>+'[2]Lote Agroindustria'!G23</f>
        <v>0</v>
      </c>
      <c r="J49" s="144">
        <f>+'[2]Lote Agroindustria'!H23</f>
        <v>0</v>
      </c>
      <c r="K49" s="89">
        <f>113095*1.04</f>
        <v>117618.8</v>
      </c>
      <c r="L49" s="5">
        <f>K49*G49+10000</f>
        <v>127618.8</v>
      </c>
      <c r="M49" s="411">
        <f t="shared" ref="M49" si="19">IFERROR(AVERAGE(L49:L50),"")</f>
        <v>118157.4</v>
      </c>
      <c r="N49" s="411">
        <f>IFERROR(HARMEAN(L49:L50),"")</f>
        <v>117399.78270341089</v>
      </c>
      <c r="O49" s="411">
        <f>IFERROR(MEDIAN(L49:L50),"")</f>
        <v>118157.4</v>
      </c>
      <c r="P49" s="86">
        <f t="shared" si="0"/>
        <v>127618.8</v>
      </c>
      <c r="Q49" s="413">
        <f>IFERROR(SUM(P49:P50)/COUNTA(K49:K50),"")</f>
        <v>118157.4</v>
      </c>
      <c r="R49" s="411">
        <f>IFERROR(_xlfn.STDEV.S(L49:L50),"")</f>
        <v>13380.440199036804</v>
      </c>
      <c r="S49" s="415">
        <f>IFERROR(R49/M49,"")</f>
        <v>0.11324250702060815</v>
      </c>
      <c r="T49" s="405" t="s">
        <v>1946</v>
      </c>
      <c r="U49" s="407">
        <f>M49</f>
        <v>118157.4</v>
      </c>
      <c r="V49" s="379"/>
    </row>
    <row r="50" spans="1:22" ht="116.25" customHeight="1" x14ac:dyDescent="0.3">
      <c r="A50" s="390"/>
      <c r="B50" s="392"/>
      <c r="C50" s="420"/>
      <c r="D50" s="420"/>
      <c r="E50" s="422"/>
      <c r="F50" s="422"/>
      <c r="G50" s="423"/>
      <c r="H50" s="145" t="s">
        <v>73</v>
      </c>
      <c r="I50" s="22">
        <f>+'[2]Lote Agroindustria'!K23</f>
        <v>0</v>
      </c>
      <c r="J50" s="144">
        <f>+'[2]Lote Agroindustria'!L23</f>
        <v>0</v>
      </c>
      <c r="K50" s="89">
        <f>94900*1.04</f>
        <v>98696</v>
      </c>
      <c r="L50" s="5">
        <f>K50*G49+10000</f>
        <v>108696</v>
      </c>
      <c r="M50" s="412"/>
      <c r="N50" s="412"/>
      <c r="O50" s="412"/>
      <c r="P50" s="86">
        <f t="shared" si="0"/>
        <v>108696</v>
      </c>
      <c r="Q50" s="414"/>
      <c r="R50" s="412"/>
      <c r="S50" s="416"/>
      <c r="T50" s="406"/>
      <c r="U50" s="408"/>
      <c r="V50" s="379"/>
    </row>
    <row r="51" spans="1:22" ht="53.25" customHeight="1" x14ac:dyDescent="0.3">
      <c r="A51" s="389">
        <v>23</v>
      </c>
      <c r="B51" s="886">
        <f>+'[2]Lote Agroindustria'!B24</f>
        <v>47131502</v>
      </c>
      <c r="C51" s="419" t="str">
        <f>+'[2]Lote Agroindustria'!C24</f>
        <v>Paños de limpieza 
rollo x 88 hojas</v>
      </c>
      <c r="D51" s="419" t="str">
        <f>+'[2]Lote Agroindustria'!D24</f>
        <v>Hojas con medidas mínimas de 28 cm x 42 cm o superior, limpiador industrial, con alto poder de absorción de grasas, solvente y aceites, tecnologia de bolsillos en el paño para un mayor poder de abrasión y mayor volumen, alta resistencia, baja liberación de partículas; antibacterial,  paños de limpieza  hechos con material hidrotejido compuesto por 80% celulosa (biodegradable) y 20% polipropileno (no biodegradable). Polipropileno  químicamente inerte, no debe contaminar las fuentes de agua cuando es desechado en rellenos sanitarios;  con una excelente capacidad y velocidad de absorción de líquidos y una alta resistencia.  Fecha de vencimiento mínima de 1 año a partir de la entrega. Rollo x 88 hojas</v>
      </c>
      <c r="E51" s="421" t="s">
        <v>1698</v>
      </c>
      <c r="F51" s="421" t="s">
        <v>72</v>
      </c>
      <c r="G51" s="391">
        <v>1</v>
      </c>
      <c r="H51" s="145" t="s">
        <v>1940</v>
      </c>
      <c r="I51" s="22">
        <f>+'[2]Lote Agroindustria'!G24</f>
        <v>0</v>
      </c>
      <c r="J51" s="144">
        <f>+'[2]Lote Agroindustria'!H24</f>
        <v>0</v>
      </c>
      <c r="K51" s="89">
        <f>48300</f>
        <v>48300</v>
      </c>
      <c r="L51" s="5">
        <f>K51*G51</f>
        <v>48300</v>
      </c>
      <c r="M51" s="411">
        <f>IFERROR(AVERAGE(L51:L52),"")</f>
        <v>56658</v>
      </c>
      <c r="N51" s="411">
        <f>IFERROR(HARMEAN(L51:L52),"")</f>
        <v>55425.055596738333</v>
      </c>
      <c r="O51" s="411">
        <f>IFERROR(MEDIAN(L51:L52),"")</f>
        <v>56658</v>
      </c>
      <c r="P51" s="86">
        <f t="shared" si="0"/>
        <v>48300</v>
      </c>
      <c r="Q51" s="413">
        <f>IFERROR(SUM(P51:P52)/COUNTA(K51:K52),"")</f>
        <v>56658</v>
      </c>
      <c r="R51" s="411">
        <f>IFERROR(_xlfn.STDEV.S(L51:L52),"")</f>
        <v>11819.996954314329</v>
      </c>
      <c r="S51" s="415">
        <f>IFERROR(R51/M51,"")</f>
        <v>0.20862008814844027</v>
      </c>
      <c r="T51" s="405" t="s">
        <v>1947</v>
      </c>
      <c r="U51" s="407">
        <f>M51</f>
        <v>56658</v>
      </c>
      <c r="V51" s="379"/>
    </row>
    <row r="52" spans="1:22" ht="173.25" customHeight="1" x14ac:dyDescent="0.3">
      <c r="A52" s="390"/>
      <c r="B52" s="392"/>
      <c r="C52" s="420"/>
      <c r="D52" s="420"/>
      <c r="E52" s="422"/>
      <c r="F52" s="422"/>
      <c r="G52" s="423"/>
      <c r="H52" s="145" t="s">
        <v>73</v>
      </c>
      <c r="I52" s="22">
        <f>+'[2]Lote Agroindustria'!K24</f>
        <v>0</v>
      </c>
      <c r="J52" s="144">
        <f>+'[2]Lote Agroindustria'!L24</f>
        <v>0</v>
      </c>
      <c r="K52" s="89">
        <f>52900*1.04</f>
        <v>55016</v>
      </c>
      <c r="L52" s="5">
        <f>K52*G51+10000</f>
        <v>65016</v>
      </c>
      <c r="M52" s="412"/>
      <c r="N52" s="412"/>
      <c r="O52" s="412"/>
      <c r="P52" s="86">
        <f t="shared" si="0"/>
        <v>65016</v>
      </c>
      <c r="Q52" s="414"/>
      <c r="R52" s="412"/>
      <c r="S52" s="416"/>
      <c r="T52" s="406"/>
      <c r="U52" s="408"/>
      <c r="V52" s="379"/>
    </row>
    <row r="53" spans="1:22" ht="57" customHeight="1" x14ac:dyDescent="0.3">
      <c r="A53" s="389">
        <v>24</v>
      </c>
      <c r="B53" s="886">
        <f>+'[2]Lote Agroindustria'!B25</f>
        <v>52151644</v>
      </c>
      <c r="C53" s="419" t="str">
        <f>+'[2]Lote Agroindustria'!C25</f>
        <v>Atomizador plástico con tapa</v>
      </c>
      <c r="D53" s="419" t="str">
        <f>+'[2]Lote Agroindustria'!D25</f>
        <v>Atomizador plástico con tapa, de capacidad de 500 ml, liviano, sistema rociador graduable. Material polietileno teréftalato - PET. Envase ovalado con diseño anatomico para el agarre, con zona de etiqueta lisa y sobresaliente en el envase, anillos en la base para dar fortaleza al envase, cuerpo con textura lisa y brillante. Color transparente.</v>
      </c>
      <c r="E53" s="421" t="s">
        <v>1698</v>
      </c>
      <c r="F53" s="421" t="s">
        <v>79</v>
      </c>
      <c r="G53" s="391">
        <v>1</v>
      </c>
      <c r="H53" s="145" t="s">
        <v>722</v>
      </c>
      <c r="I53" s="22">
        <f>+'[2]Lote Agroindustria'!G25</f>
        <v>0</v>
      </c>
      <c r="J53" s="144">
        <f>+'[2]Lote Agroindustria'!H25</f>
        <v>0</v>
      </c>
      <c r="K53" s="89">
        <f>12000*1.04</f>
        <v>12480</v>
      </c>
      <c r="L53" s="5">
        <f>K53*G53+10000</f>
        <v>22480</v>
      </c>
      <c r="M53" s="411">
        <f t="shared" ref="M53" si="20">IFERROR(AVERAGE(L53:L54),"")</f>
        <v>23468</v>
      </c>
      <c r="N53" s="411">
        <f>IFERROR(HARMEAN(L53:L54),"")</f>
        <v>23426.405317879664</v>
      </c>
      <c r="O53" s="411">
        <f>IFERROR(MEDIAN(L53:L54),"")</f>
        <v>23468</v>
      </c>
      <c r="P53" s="86">
        <f t="shared" si="0"/>
        <v>22480</v>
      </c>
      <c r="Q53" s="413">
        <f>IFERROR(SUM(P53:P54)/COUNTA(K53:K54),"")</f>
        <v>23468</v>
      </c>
      <c r="R53" s="411">
        <f>IFERROR(_xlfn.STDEV.S(L53:L54),"")</f>
        <v>1397.2429996246178</v>
      </c>
      <c r="S53" s="415">
        <f>IFERROR(R53/M53,"")</f>
        <v>5.9538222244103364E-2</v>
      </c>
      <c r="T53" s="405" t="s">
        <v>1946</v>
      </c>
      <c r="U53" s="407">
        <f>M53</f>
        <v>23468</v>
      </c>
      <c r="V53" s="379"/>
    </row>
    <row r="54" spans="1:22" ht="55.5" customHeight="1" x14ac:dyDescent="0.3">
      <c r="A54" s="390"/>
      <c r="B54" s="392"/>
      <c r="C54" s="420"/>
      <c r="D54" s="420"/>
      <c r="E54" s="422"/>
      <c r="F54" s="422"/>
      <c r="G54" s="423"/>
      <c r="H54" s="145" t="s">
        <v>73</v>
      </c>
      <c r="I54" s="22">
        <f>+'[2]Lote Agroindustria'!K25</f>
        <v>0</v>
      </c>
      <c r="J54" s="144">
        <f>+'[2]Lote Agroindustria'!L25</f>
        <v>0</v>
      </c>
      <c r="K54" s="89">
        <f>13900*1.04</f>
        <v>14456</v>
      </c>
      <c r="L54" s="5">
        <f>K54*G53+10000</f>
        <v>24456</v>
      </c>
      <c r="M54" s="412"/>
      <c r="N54" s="412"/>
      <c r="O54" s="412"/>
      <c r="P54" s="86">
        <f t="shared" si="0"/>
        <v>24456</v>
      </c>
      <c r="Q54" s="414"/>
      <c r="R54" s="412"/>
      <c r="S54" s="416"/>
      <c r="T54" s="406"/>
      <c r="U54" s="408"/>
      <c r="V54" s="379"/>
    </row>
    <row r="55" spans="1:22" ht="66.75" customHeight="1" x14ac:dyDescent="0.3">
      <c r="A55" s="389">
        <v>25</v>
      </c>
      <c r="B55" s="886">
        <f>+'[2]Lote Agroindustria'!B26</f>
        <v>41103206</v>
      </c>
      <c r="C55" s="419" t="str">
        <f>+'[2]Lote Agroindustria'!C26</f>
        <v xml:space="preserve">Detergente 
Desengrasante </v>
      </c>
      <c r="D55" s="419" t="str">
        <f>+'[2]Lote Agroindustria'!D26</f>
        <v xml:space="preserve">Detergente desengrasante de baja dilución, 
especialmente formulado para la limpieza de 
superficies en general, pH neutro para la industria de 
alimentos, con componentes biodegradables y mínimo 
20% de componente activo. Presentación galón x 4 L, rotulado con nombre del producto, peso, lote de 
producción y fecha de vencimiento E28 </v>
      </c>
      <c r="E55" s="421" t="s">
        <v>617</v>
      </c>
      <c r="F55" s="421" t="s">
        <v>460</v>
      </c>
      <c r="G55" s="391">
        <v>1</v>
      </c>
      <c r="H55" s="145" t="s">
        <v>722</v>
      </c>
      <c r="I55" s="22">
        <f>+'[2]Lote Agroindustria'!G26</f>
        <v>0</v>
      </c>
      <c r="J55" s="144">
        <f>+'[2]Lote Agroindustria'!H26</f>
        <v>0</v>
      </c>
      <c r="K55" s="89">
        <f>37897*1.04</f>
        <v>39412.880000000005</v>
      </c>
      <c r="L55" s="5">
        <f>K55*G55</f>
        <v>39412.880000000005</v>
      </c>
      <c r="M55" s="411">
        <f t="shared" ref="M55" si="21">IFERROR(AVERAGE(L55:L56),"")</f>
        <v>36614.44</v>
      </c>
      <c r="N55" s="411">
        <f>IFERROR(HARMEAN(L55:L56),"")</f>
        <v>36400.555356848286</v>
      </c>
      <c r="O55" s="411">
        <f>IFERROR(MEDIAN(L55:L56),"")</f>
        <v>36614.44</v>
      </c>
      <c r="P55" s="86">
        <f t="shared" si="0"/>
        <v>39412.880000000005</v>
      </c>
      <c r="Q55" s="413">
        <f>IFERROR(SUM(P55:P56)/COUNTA(K55:K56),"")</f>
        <v>36614.44</v>
      </c>
      <c r="R55" s="411">
        <f>IFERROR(_xlfn.STDEV.S(L55:L56),"")</f>
        <v>3957.5918014873673</v>
      </c>
      <c r="S55" s="415">
        <f>IFERROR(R55/M55,"")</f>
        <v>0.10808827887268976</v>
      </c>
      <c r="T55" s="405" t="s">
        <v>1946</v>
      </c>
      <c r="U55" s="407">
        <f>M55</f>
        <v>36614.44</v>
      </c>
      <c r="V55" s="379"/>
    </row>
    <row r="56" spans="1:22" ht="64.5" customHeight="1" x14ac:dyDescent="0.3">
      <c r="A56" s="390"/>
      <c r="B56" s="392"/>
      <c r="C56" s="420"/>
      <c r="D56" s="420"/>
      <c r="E56" s="422"/>
      <c r="F56" s="422"/>
      <c r="G56" s="423"/>
      <c r="H56" s="145" t="s">
        <v>73</v>
      </c>
      <c r="I56" s="22">
        <f>+'[2]Lote Agroindustria'!K26</f>
        <v>0</v>
      </c>
      <c r="J56" s="144">
        <f>+'[2]Lote Agroindustria'!L26</f>
        <v>0</v>
      </c>
      <c r="K56" s="89">
        <f>22900*1.04</f>
        <v>23816</v>
      </c>
      <c r="L56" s="5">
        <f>+K56*G55+10000</f>
        <v>33816</v>
      </c>
      <c r="M56" s="412"/>
      <c r="N56" s="412"/>
      <c r="O56" s="412"/>
      <c r="P56" s="86">
        <f t="shared" si="0"/>
        <v>33816</v>
      </c>
      <c r="Q56" s="414"/>
      <c r="R56" s="412"/>
      <c r="S56" s="416"/>
      <c r="T56" s="406"/>
      <c r="U56" s="408"/>
      <c r="V56" s="379"/>
    </row>
    <row r="57" spans="1:22" ht="63.75" customHeight="1" x14ac:dyDescent="0.3">
      <c r="A57" s="389">
        <v>26</v>
      </c>
      <c r="B57" s="886">
        <f>+'[2]Lote Agroindustria'!B27</f>
        <v>47121803</v>
      </c>
      <c r="C57" s="419" t="str">
        <f>+'[2]Lote Agroindustria'!C27</f>
        <v>Esponja lava loza</v>
      </c>
      <c r="D57" s="419" t="str">
        <f>+'[2]Lote Agroindustria'!D27</f>
        <v>Fibra plástica, tipo sabra, rollo x 33 m. Se usa como 
esponja abrasiva para superficies, equipos y utensilios.</v>
      </c>
      <c r="E57" s="421" t="s">
        <v>1698</v>
      </c>
      <c r="F57" s="421" t="s">
        <v>79</v>
      </c>
      <c r="G57" s="391">
        <v>1</v>
      </c>
      <c r="H57" s="143" t="s">
        <v>1937</v>
      </c>
      <c r="I57" s="22">
        <f>+'[2]Lote Agroindustria'!G27</f>
        <v>0</v>
      </c>
      <c r="J57" s="144">
        <f>+'[2]Lote Agroindustria'!H27</f>
        <v>0</v>
      </c>
      <c r="K57" s="89">
        <f>2420*1.04</f>
        <v>2516.8000000000002</v>
      </c>
      <c r="L57" s="5">
        <f>K57*G57+10000</f>
        <v>12516.8</v>
      </c>
      <c r="M57" s="411">
        <f t="shared" ref="M57" si="22">IFERROR(AVERAGE(L57:L58),"")</f>
        <v>13052.4</v>
      </c>
      <c r="N57" s="411">
        <f>IFERROR(HARMEAN(L57:L58),"")</f>
        <v>13030.421868775091</v>
      </c>
      <c r="O57" s="411">
        <f>IFERROR(MEDIAN(L57:L58),"")</f>
        <v>13052.4</v>
      </c>
      <c r="P57" s="86">
        <f t="shared" si="0"/>
        <v>12516.8</v>
      </c>
      <c r="Q57" s="413">
        <f>IFERROR(SUM(P57:P58)/COUNTA(K57:K58),"")</f>
        <v>13052.4</v>
      </c>
      <c r="R57" s="411">
        <f>IFERROR(_xlfn.STDEV.S(L57:L58),"")</f>
        <v>757.45278400703023</v>
      </c>
      <c r="S57" s="415">
        <f>IFERROR(R57/M57,"")</f>
        <v>5.8031686433685011E-2</v>
      </c>
      <c r="T57" s="405" t="s">
        <v>1938</v>
      </c>
      <c r="U57" s="407">
        <f>M57</f>
        <v>13052.4</v>
      </c>
      <c r="V57" s="379"/>
    </row>
    <row r="58" spans="1:22" ht="58.5" customHeight="1" x14ac:dyDescent="0.3">
      <c r="A58" s="390"/>
      <c r="B58" s="392"/>
      <c r="C58" s="420"/>
      <c r="D58" s="420"/>
      <c r="E58" s="422"/>
      <c r="F58" s="422"/>
      <c r="G58" s="423"/>
      <c r="H58" s="145" t="s">
        <v>1936</v>
      </c>
      <c r="I58" s="22">
        <f>+'[2]Lote Agroindustria'!K27</f>
        <v>0</v>
      </c>
      <c r="J58" s="144">
        <f>+'[2]Lote Agroindustria'!L27</f>
        <v>0</v>
      </c>
      <c r="K58" s="89">
        <f>3450*1.04</f>
        <v>3588</v>
      </c>
      <c r="L58" s="5">
        <f>K58*G57+10000</f>
        <v>13588</v>
      </c>
      <c r="M58" s="412"/>
      <c r="N58" s="412"/>
      <c r="O58" s="412"/>
      <c r="P58" s="86">
        <f t="shared" si="0"/>
        <v>13588</v>
      </c>
      <c r="Q58" s="414"/>
      <c r="R58" s="412"/>
      <c r="S58" s="416"/>
      <c r="T58" s="406"/>
      <c r="U58" s="408"/>
      <c r="V58" s="379"/>
    </row>
    <row r="59" spans="1:22" ht="58.5" customHeight="1" x14ac:dyDescent="0.3">
      <c r="A59" s="389">
        <v>27</v>
      </c>
      <c r="B59" s="886">
        <f>+'[2]Lote Agroindustria'!B28</f>
        <v>47131803</v>
      </c>
      <c r="C59" s="419" t="str">
        <f>+'[2]Lote Agroindustria'!C28</f>
        <v>Desinfectante 
Hipoclorito de 
Sodio</v>
      </c>
      <c r="D59" s="419" t="str">
        <f>+'[2]Lote Agroindustria'!D28</f>
        <v xml:space="preserve">Hipoclorito de sodio al 13%, presentación por galón de 
3,8 litros. Rotulado con nombre del producto, cantidad, 
lote de producción y fecha de vencimiento. </v>
      </c>
      <c r="E59" s="421" t="s">
        <v>617</v>
      </c>
      <c r="F59" s="421" t="s">
        <v>460</v>
      </c>
      <c r="G59" s="391">
        <v>1</v>
      </c>
      <c r="H59" s="143" t="s">
        <v>1937</v>
      </c>
      <c r="I59" s="22">
        <f>+'[2]Lote Agroindustria'!G28</f>
        <v>0</v>
      </c>
      <c r="J59" s="144">
        <f>+'[2]Lote Agroindustria'!H28</f>
        <v>0</v>
      </c>
      <c r="K59" s="89">
        <f>16300*1.04</f>
        <v>16952</v>
      </c>
      <c r="L59" s="5">
        <f>K59*G59</f>
        <v>16952</v>
      </c>
      <c r="M59" s="411">
        <f t="shared" ref="M59" si="23">IFERROR(AVERAGE(L59:L60),"")</f>
        <v>15750.8</v>
      </c>
      <c r="N59" s="411">
        <f>IFERROR(HARMEAN(L59:L60),"")</f>
        <v>15659.193133047211</v>
      </c>
      <c r="O59" s="411">
        <f>IFERROR(MEDIAN(L59:L60),"")</f>
        <v>15750.8</v>
      </c>
      <c r="P59" s="86">
        <f t="shared" si="0"/>
        <v>16952</v>
      </c>
      <c r="Q59" s="413">
        <f>IFERROR(SUM(P59:P60)/COUNTA(K59:K60),"")</f>
        <v>15750.8</v>
      </c>
      <c r="R59" s="411">
        <f>IFERROR(_xlfn.STDEV.S(L59:L60),"")</f>
        <v>1698.7533311225616</v>
      </c>
      <c r="S59" s="415">
        <f>IFERROR(R59/M59,"")</f>
        <v>0.1078518761664526</v>
      </c>
      <c r="T59" s="405" t="s">
        <v>1938</v>
      </c>
      <c r="U59" s="407">
        <f>M59</f>
        <v>15750.8</v>
      </c>
      <c r="V59" s="888"/>
    </row>
    <row r="60" spans="1:22" ht="61.5" customHeight="1" x14ac:dyDescent="0.3">
      <c r="A60" s="390"/>
      <c r="B60" s="392"/>
      <c r="C60" s="420"/>
      <c r="D60" s="420"/>
      <c r="E60" s="422"/>
      <c r="F60" s="422"/>
      <c r="G60" s="423"/>
      <c r="H60" s="145" t="s">
        <v>1936</v>
      </c>
      <c r="I60" s="22">
        <f>+'[2]Lote Agroindustria'!K28</f>
        <v>0</v>
      </c>
      <c r="J60" s="144">
        <f>+'[2]Lote Agroindustria'!L28</f>
        <v>0</v>
      </c>
      <c r="K60" s="89">
        <f>13990*1.04</f>
        <v>14549.6</v>
      </c>
      <c r="L60" s="5">
        <f>K60*G59</f>
        <v>14549.6</v>
      </c>
      <c r="M60" s="412"/>
      <c r="N60" s="412"/>
      <c r="O60" s="412"/>
      <c r="P60" s="86">
        <f t="shared" si="0"/>
        <v>14549.6</v>
      </c>
      <c r="Q60" s="414"/>
      <c r="R60" s="412"/>
      <c r="S60" s="416"/>
      <c r="T60" s="406"/>
      <c r="U60" s="408"/>
      <c r="V60" s="888"/>
    </row>
    <row r="61" spans="1:22" ht="59.25" customHeight="1" x14ac:dyDescent="0.3">
      <c r="A61" s="389">
        <v>28</v>
      </c>
      <c r="B61" s="886">
        <f>+'[2]Lote Agroindustria'!B29</f>
        <v>52152010</v>
      </c>
      <c r="C61" s="419" t="str">
        <f>+'[2]Lote Agroindustria'!C29</f>
        <v>Frasco o envase de vidrio</v>
      </c>
      <c r="D61" s="419" t="str">
        <f>+'[2]Lote Agroindustria'!D29</f>
        <v>Frascos o envase de vidrio de capacidad entre 100–150 mL; boca ancha; vidrio templado; apto para tratamiento térmico</v>
      </c>
      <c r="E61" s="421" t="s">
        <v>1698</v>
      </c>
      <c r="F61" s="421" t="s">
        <v>79</v>
      </c>
      <c r="G61" s="391">
        <v>1</v>
      </c>
      <c r="H61" s="145" t="s">
        <v>1948</v>
      </c>
      <c r="I61" s="22">
        <f>+'[2]Lote Agroindustria'!G29</f>
        <v>0</v>
      </c>
      <c r="J61" s="144">
        <f>+'[2]Lote Agroindustria'!H28</f>
        <v>0</v>
      </c>
      <c r="K61" s="89">
        <f>1389*1.04</f>
        <v>1444.56</v>
      </c>
      <c r="L61" s="5">
        <f>K61*G61+10000</f>
        <v>11444.56</v>
      </c>
      <c r="M61" s="411">
        <f t="shared" ref="M61" si="24">IFERROR(AVERAGE(L61:L62),"")</f>
        <v>11410.999199999998</v>
      </c>
      <c r="N61" s="411">
        <f>IFERROR(HARMEAN(L61:L62),"")</f>
        <v>11410.900494595073</v>
      </c>
      <c r="O61" s="411">
        <f>IFERROR(MEDIAN(L61:L62),"")</f>
        <v>11410.999199999998</v>
      </c>
      <c r="P61" s="86">
        <f t="shared" si="0"/>
        <v>11444.56</v>
      </c>
      <c r="Q61" s="413">
        <f>IFERROR(SUM(P61:P62)/COUNTA(K61:K62),"")</f>
        <v>11410.999199999998</v>
      </c>
      <c r="R61" s="411">
        <f>IFERROR(_xlfn.STDEV.S(L61:L62),"")</f>
        <v>47.462138524091245</v>
      </c>
      <c r="S61" s="415">
        <f>IFERROR(R61/M61,"")</f>
        <v>4.1593323855540409E-3</v>
      </c>
      <c r="T61" s="405" t="s">
        <v>1949</v>
      </c>
      <c r="U61" s="407">
        <f>+L62</f>
        <v>11377.438399999999</v>
      </c>
      <c r="V61" s="888"/>
    </row>
    <row r="62" spans="1:22" ht="60.75" customHeight="1" x14ac:dyDescent="0.3">
      <c r="A62" s="390"/>
      <c r="B62" s="392"/>
      <c r="C62" s="420"/>
      <c r="D62" s="420"/>
      <c r="E62" s="422"/>
      <c r="F62" s="422"/>
      <c r="G62" s="423"/>
      <c r="H62" s="145" t="s">
        <v>1950</v>
      </c>
      <c r="I62" s="22">
        <f>+'[2]Lote Agroindustria'!K28</f>
        <v>0</v>
      </c>
      <c r="J62" s="144">
        <f>+'[2]Lote Agroindustria'!L28</f>
        <v>0</v>
      </c>
      <c r="K62" s="89">
        <f>1324.46*1.04</f>
        <v>1377.4384</v>
      </c>
      <c r="L62" s="5">
        <f>K62*G61+10000</f>
        <v>11377.438399999999</v>
      </c>
      <c r="M62" s="412"/>
      <c r="N62" s="412"/>
      <c r="O62" s="412"/>
      <c r="P62" s="86">
        <f t="shared" si="0"/>
        <v>11377.438399999999</v>
      </c>
      <c r="Q62" s="414"/>
      <c r="R62" s="412"/>
      <c r="S62" s="416"/>
      <c r="T62" s="439"/>
      <c r="U62" s="408"/>
      <c r="V62" s="888"/>
    </row>
    <row r="63" spans="1:22" ht="69.75" customHeight="1" x14ac:dyDescent="0.3">
      <c r="A63" s="389">
        <v>29</v>
      </c>
      <c r="B63" s="886">
        <f>+'[2]Lote Agroindustria'!B30</f>
        <v>52151504</v>
      </c>
      <c r="C63" s="419" t="str">
        <f>+'[2]Lote Agroindustria'!C30</f>
        <v>Tapa metálica twist-off</v>
      </c>
      <c r="D63" s="419" t="str">
        <f>+'[2]Lote Agroindustria'!D30</f>
        <v>Con liner plastisol; resistencia térmica; compatible con frasco o envase de vidrio de capaciad entre 100–150 mL; boca ancha; vidrio templado; apto para tratamiento térmico</v>
      </c>
      <c r="E63" s="421" t="s">
        <v>1698</v>
      </c>
      <c r="F63" s="421" t="s">
        <v>79</v>
      </c>
      <c r="G63" s="391">
        <v>1</v>
      </c>
      <c r="H63" s="145" t="s">
        <v>1948</v>
      </c>
      <c r="I63" s="22">
        <f>+'[2]Lote Agroindustria'!G30</f>
        <v>0</v>
      </c>
      <c r="J63" s="144">
        <f>+'[2]Lote Agroindustria'!H30</f>
        <v>0</v>
      </c>
      <c r="K63" s="89">
        <f>1377*1.04</f>
        <v>1432.0800000000002</v>
      </c>
      <c r="L63" s="5">
        <f>K63*G63+10000</f>
        <v>11432.08</v>
      </c>
      <c r="M63" s="411">
        <f t="shared" ref="M63" si="25">IFERROR(AVERAGE(L63:L64),"")</f>
        <v>10894.465</v>
      </c>
      <c r="N63" s="411">
        <f>IFERROR(HARMEAN(L63:L64),"")</f>
        <v>10867.935024620301</v>
      </c>
      <c r="O63" s="411">
        <f>IFERROR(MEDIAN(L63:L64),"")</f>
        <v>10894.465</v>
      </c>
      <c r="P63" s="86">
        <f t="shared" si="0"/>
        <v>11432.08</v>
      </c>
      <c r="Q63" s="413">
        <f>IFERROR(SUM(P63:P64)/COUNTA(K63:K64),"")</f>
        <v>10894.465</v>
      </c>
      <c r="R63" s="411">
        <f>IFERROR(_xlfn.STDEV.S(L63:L64),"")</f>
        <v>760.30242433521119</v>
      </c>
      <c r="S63" s="415">
        <f>IFERROR(R63/M63,"")</f>
        <v>6.9787954189142021E-2</v>
      </c>
      <c r="T63" s="405" t="s">
        <v>1949</v>
      </c>
      <c r="U63" s="407">
        <f t="shared" ref="U63:U126" si="26">M63</f>
        <v>10894.465</v>
      </c>
      <c r="V63" s="888"/>
    </row>
    <row r="64" spans="1:22" ht="76.5" customHeight="1" x14ac:dyDescent="0.3">
      <c r="A64" s="390"/>
      <c r="B64" s="392"/>
      <c r="C64" s="420"/>
      <c r="D64" s="420"/>
      <c r="E64" s="422"/>
      <c r="F64" s="422"/>
      <c r="G64" s="423"/>
      <c r="H64" s="145" t="s">
        <v>1950</v>
      </c>
      <c r="I64" s="22">
        <f>+'[2]Lote Agroindustria'!K30</f>
        <v>0</v>
      </c>
      <c r="J64" s="144">
        <f>+'[2]Lote Agroindustria'!L30</f>
        <v>0</v>
      </c>
      <c r="K64" s="89">
        <f>343.125*1.04</f>
        <v>356.85</v>
      </c>
      <c r="L64" s="5">
        <f>K64*G63+10000</f>
        <v>10356.85</v>
      </c>
      <c r="M64" s="412"/>
      <c r="N64" s="412"/>
      <c r="O64" s="412"/>
      <c r="P64" s="86">
        <f t="shared" si="0"/>
        <v>10356.85</v>
      </c>
      <c r="Q64" s="414"/>
      <c r="R64" s="412"/>
      <c r="S64" s="416"/>
      <c r="T64" s="439"/>
      <c r="U64" s="408">
        <f t="shared" si="26"/>
        <v>0</v>
      </c>
      <c r="V64" s="888"/>
    </row>
    <row r="65" spans="1:22" ht="90" customHeight="1" x14ac:dyDescent="0.3">
      <c r="A65" s="389">
        <v>30</v>
      </c>
      <c r="B65" s="886">
        <f>+'[2]Lote Agroindustria'!B31</f>
        <v>52152010</v>
      </c>
      <c r="C65" s="419" t="str">
        <f>+'[2]Lote Agroindustria'!C31</f>
        <v>Frasco o envase de vidrio</v>
      </c>
      <c r="D65" s="419" t="str">
        <f>+'[2]Lote Agroindustria'!D31</f>
        <v>Frascos o envase de vidrio de capacidad entre 200–250 mL; boca ancha; vidrio templado; apto para tratamiento térmico</v>
      </c>
      <c r="E65" s="421" t="s">
        <v>1698</v>
      </c>
      <c r="F65" s="421" t="s">
        <v>79</v>
      </c>
      <c r="G65" s="391">
        <v>1</v>
      </c>
      <c r="H65" s="145" t="s">
        <v>1948</v>
      </c>
      <c r="I65" s="22">
        <f>+'[2]Lote Agroindustria'!G33</f>
        <v>0</v>
      </c>
      <c r="J65" s="144">
        <f>+'[2]Lote Agroindustria'!H33</f>
        <v>0</v>
      </c>
      <c r="K65" s="89">
        <f>2261*1.04</f>
        <v>2351.44</v>
      </c>
      <c r="L65" s="5">
        <f>K65*G65+10000</f>
        <v>12351.44</v>
      </c>
      <c r="M65" s="411">
        <f t="shared" ref="M65" si="27">IFERROR(AVERAGE(L65:L66),"")</f>
        <v>11766.65684</v>
      </c>
      <c r="N65" s="411">
        <f>IFERROR(HARMEAN(L65:L66),"")</f>
        <v>11737.594095256984</v>
      </c>
      <c r="O65" s="411">
        <f>IFERROR(MEDIAN(L65:L66),"")</f>
        <v>11766.65684</v>
      </c>
      <c r="P65" s="86">
        <f t="shared" si="0"/>
        <v>12351.44</v>
      </c>
      <c r="Q65" s="413">
        <f>IFERROR(SUM(P65:P66)/COUNTA(K65:K66),"")</f>
        <v>11766.65684</v>
      </c>
      <c r="R65" s="411">
        <f>IFERROR(_xlfn.STDEV.S(L65:L66),"")</f>
        <v>827.00827591939549</v>
      </c>
      <c r="S65" s="415">
        <f>IFERROR(R65/M65,"")</f>
        <v>7.0284048151046066E-2</v>
      </c>
      <c r="T65" s="405" t="s">
        <v>1949</v>
      </c>
      <c r="U65" s="407">
        <f t="shared" si="26"/>
        <v>11766.65684</v>
      </c>
      <c r="V65" s="888"/>
    </row>
    <row r="66" spans="1:22" ht="80.25" customHeight="1" x14ac:dyDescent="0.3">
      <c r="A66" s="390"/>
      <c r="B66" s="392"/>
      <c r="C66" s="420"/>
      <c r="D66" s="420"/>
      <c r="E66" s="422"/>
      <c r="F66" s="422"/>
      <c r="G66" s="423"/>
      <c r="H66" s="145" t="s">
        <v>1950</v>
      </c>
      <c r="I66" s="22">
        <f>+'[2]Lote Agroindustria'!K33</f>
        <v>0</v>
      </c>
      <c r="J66" s="144">
        <f>+'[2]Lote Agroindustria'!L33</f>
        <v>0</v>
      </c>
      <c r="K66" s="89">
        <f>1136.417*1.04</f>
        <v>1181.8736799999999</v>
      </c>
      <c r="L66" s="5">
        <f>K66*G65+10000</f>
        <v>11181.873680000001</v>
      </c>
      <c r="M66" s="412"/>
      <c r="N66" s="412"/>
      <c r="O66" s="412"/>
      <c r="P66" s="86">
        <f t="shared" si="0"/>
        <v>11181.873680000001</v>
      </c>
      <c r="Q66" s="414"/>
      <c r="R66" s="412"/>
      <c r="S66" s="416"/>
      <c r="T66" s="439"/>
      <c r="U66" s="408">
        <f t="shared" si="26"/>
        <v>0</v>
      </c>
      <c r="V66" s="888"/>
    </row>
    <row r="67" spans="1:22" ht="45" customHeight="1" x14ac:dyDescent="0.3">
      <c r="A67" s="389">
        <v>31</v>
      </c>
      <c r="B67" s="886">
        <f>+'[2]Lote Agroindustria'!B32</f>
        <v>52151504</v>
      </c>
      <c r="C67" s="419" t="str">
        <f>+'[2]Lote Agroindustria'!C32</f>
        <v>Tapa metálica twist-off</v>
      </c>
      <c r="D67" s="419" t="str">
        <f>+'[2]Lote Agroindustria'!D32</f>
        <v>Con liner plastisol; resistencia térmica; compatible con frasco envase de vidrio de capaciad entre 200–250 mL; boca ancha; vidrio templado; apto para tratamiento térmico</v>
      </c>
      <c r="E67" s="421" t="s">
        <v>1698</v>
      </c>
      <c r="F67" s="421" t="s">
        <v>79</v>
      </c>
      <c r="G67" s="391">
        <v>1</v>
      </c>
      <c r="H67" s="145" t="s">
        <v>1948</v>
      </c>
      <c r="I67" s="22">
        <v>0</v>
      </c>
      <c r="J67" s="23">
        <v>0</v>
      </c>
      <c r="K67" s="24">
        <f>794*1.04</f>
        <v>825.76</v>
      </c>
      <c r="L67" s="5">
        <f>K67*G67+10000</f>
        <v>10825.76</v>
      </c>
      <c r="M67" s="411">
        <f t="shared" ref="M67" si="28">IFERROR(AVERAGE(L67:L68),"")</f>
        <v>10619.84</v>
      </c>
      <c r="N67" s="411">
        <f>IFERROR(HARMEAN(L67:L68),"")</f>
        <v>10615.847185946304</v>
      </c>
      <c r="O67" s="411">
        <f>IFERROR(MEDIAN(L67:L68),"")</f>
        <v>10619.84</v>
      </c>
      <c r="P67" s="86">
        <f t="shared" si="0"/>
        <v>10825.76</v>
      </c>
      <c r="Q67" s="413">
        <f>IFERROR(SUM(P67:P68)/COUNTA(K67:K68),"")</f>
        <v>10619.84</v>
      </c>
      <c r="R67" s="411">
        <f>IFERROR(_xlfn.STDEV.S(L67:L68),"")</f>
        <v>291.21485676386783</v>
      </c>
      <c r="S67" s="415">
        <f>IFERROR(R67/M67,"")</f>
        <v>2.7421774411278119E-2</v>
      </c>
      <c r="T67" s="405" t="s">
        <v>1949</v>
      </c>
      <c r="U67" s="407">
        <f t="shared" si="26"/>
        <v>10619.84</v>
      </c>
      <c r="V67" s="379"/>
    </row>
    <row r="68" spans="1:22" ht="45" customHeight="1" x14ac:dyDescent="0.3">
      <c r="A68" s="390"/>
      <c r="B68" s="392"/>
      <c r="C68" s="420"/>
      <c r="D68" s="420"/>
      <c r="E68" s="422"/>
      <c r="F68" s="422"/>
      <c r="G68" s="423"/>
      <c r="H68" s="145" t="s">
        <v>1950</v>
      </c>
      <c r="I68" s="22">
        <v>0</v>
      </c>
      <c r="J68" s="23">
        <v>0</v>
      </c>
      <c r="K68" s="24">
        <f>398*1.04</f>
        <v>413.92</v>
      </c>
      <c r="L68" s="5">
        <f>K68*G67+10000</f>
        <v>10413.92</v>
      </c>
      <c r="M68" s="412"/>
      <c r="N68" s="412"/>
      <c r="O68" s="412"/>
      <c r="P68" s="86">
        <f t="shared" si="0"/>
        <v>10413.92</v>
      </c>
      <c r="Q68" s="414"/>
      <c r="R68" s="412"/>
      <c r="S68" s="416"/>
      <c r="T68" s="439"/>
      <c r="U68" s="408">
        <f t="shared" si="26"/>
        <v>0</v>
      </c>
      <c r="V68" s="379"/>
    </row>
    <row r="69" spans="1:22" ht="45" customHeight="1" x14ac:dyDescent="0.3">
      <c r="A69" s="389">
        <v>32</v>
      </c>
      <c r="B69" s="886">
        <f>+'[2]Lote Agroindustria'!B33</f>
        <v>52151901</v>
      </c>
      <c r="C69" s="419" t="str">
        <f>+'[2]Lote Agroindustria'!C33</f>
        <v>Capacillo blanco de papel No 0. Paquete x 1000 unidades</v>
      </c>
      <c r="D69" s="419" t="str">
        <f>+'[2]Lote Agroindustria'!D33</f>
        <v>Capacillo No 0 base de 22 mm. moldecitos o recipientes de papel encerado, de color blanco. Paquete x 1000 unidades</v>
      </c>
      <c r="E69" s="421" t="s">
        <v>1698</v>
      </c>
      <c r="F69" s="421" t="s">
        <v>290</v>
      </c>
      <c r="G69" s="391">
        <v>1</v>
      </c>
      <c r="H69" s="143" t="s">
        <v>1942</v>
      </c>
      <c r="I69" s="22">
        <v>0</v>
      </c>
      <c r="J69" s="23">
        <v>0</v>
      </c>
      <c r="K69" s="24">
        <f>10399*1.04</f>
        <v>10814.960000000001</v>
      </c>
      <c r="L69" s="5">
        <f>K69*G69+13100</f>
        <v>23914.959999999999</v>
      </c>
      <c r="M69" s="411">
        <f t="shared" ref="M69" si="29">IFERROR(AVERAGE(L69:L70),"")</f>
        <v>27401.48</v>
      </c>
      <c r="N69" s="411">
        <f>IFERROR(HARMEAN(L69:L70),"")</f>
        <v>26957.860833794377</v>
      </c>
      <c r="O69" s="411">
        <f>IFERROR(MEDIAN(L69:L70),"")</f>
        <v>27401.48</v>
      </c>
      <c r="P69" s="86">
        <f t="shared" si="0"/>
        <v>23914.959999999999</v>
      </c>
      <c r="Q69" s="413">
        <f>IFERROR(SUM(P69:P70)/COUNTA(K69:K70),"")</f>
        <v>27401.48</v>
      </c>
      <c r="R69" s="411">
        <f>IFERROR(_xlfn.STDEV.S(L69:L70),"")</f>
        <v>4930.6838694850403</v>
      </c>
      <c r="S69" s="415">
        <f>IFERROR(R69/M69,"")</f>
        <v>0.17994224653139321</v>
      </c>
      <c r="T69" s="405" t="s">
        <v>1943</v>
      </c>
      <c r="U69" s="407">
        <f t="shared" si="26"/>
        <v>27401.48</v>
      </c>
      <c r="V69" s="379"/>
    </row>
    <row r="70" spans="1:22" ht="45" customHeight="1" x14ac:dyDescent="0.3">
      <c r="A70" s="390"/>
      <c r="B70" s="392"/>
      <c r="C70" s="420"/>
      <c r="D70" s="420"/>
      <c r="E70" s="422"/>
      <c r="F70" s="422"/>
      <c r="G70" s="423"/>
      <c r="H70" s="145" t="s">
        <v>722</v>
      </c>
      <c r="I70" s="22">
        <v>0</v>
      </c>
      <c r="J70" s="23">
        <v>0</v>
      </c>
      <c r="K70" s="24">
        <f>17200*1.04</f>
        <v>17888</v>
      </c>
      <c r="L70" s="5">
        <f>K70*G69+13000</f>
        <v>30888</v>
      </c>
      <c r="M70" s="412"/>
      <c r="N70" s="412"/>
      <c r="O70" s="412"/>
      <c r="P70" s="86">
        <f t="shared" si="0"/>
        <v>30888</v>
      </c>
      <c r="Q70" s="414"/>
      <c r="R70" s="412"/>
      <c r="S70" s="416"/>
      <c r="T70" s="406"/>
      <c r="U70" s="408">
        <f t="shared" si="26"/>
        <v>0</v>
      </c>
      <c r="V70" s="379"/>
    </row>
    <row r="71" spans="1:22" ht="45" customHeight="1" x14ac:dyDescent="0.3">
      <c r="A71" s="389">
        <v>33</v>
      </c>
      <c r="B71" s="886">
        <f>+'[2]Lote Agroindustria'!B34</f>
        <v>52151901</v>
      </c>
      <c r="C71" s="419" t="str">
        <f>+'[2]Lote Agroindustria'!C34</f>
        <v>Capacillo blanco de papel No 1. Paquete x 1000 unidades</v>
      </c>
      <c r="D71" s="419" t="str">
        <f>+'[2]Lote Agroindustria'!D34</f>
        <v>Capacillo No 1 base de 25 mm. moldecitos o recipientes de papel encerado, de color blanco. Paquete x 1000 unidades</v>
      </c>
      <c r="E71" s="421" t="s">
        <v>1698</v>
      </c>
      <c r="F71" s="421" t="s">
        <v>290</v>
      </c>
      <c r="G71" s="391">
        <v>1</v>
      </c>
      <c r="H71" s="143" t="s">
        <v>1942</v>
      </c>
      <c r="I71" s="22">
        <v>0</v>
      </c>
      <c r="J71" s="23">
        <v>0</v>
      </c>
      <c r="K71" s="24">
        <f>12000*1.04</f>
        <v>12480</v>
      </c>
      <c r="L71" s="5">
        <f>K71*G71+13100</f>
        <v>25580</v>
      </c>
      <c r="M71" s="411">
        <f t="shared" ref="M71" si="30">IFERROR(AVERAGE(L71:L72),"")</f>
        <v>28234</v>
      </c>
      <c r="N71" s="411">
        <f>IFERROR(HARMEAN(L71:L72),"")</f>
        <v>27984.523623999437</v>
      </c>
      <c r="O71" s="411">
        <f>IFERROR(MEDIAN(L71:L72),"")</f>
        <v>28234</v>
      </c>
      <c r="P71" s="86">
        <f t="shared" ref="P71:P134" si="31">IF(L71="","",L71)</f>
        <v>25580</v>
      </c>
      <c r="Q71" s="413">
        <f>IFERROR(SUM(P71:P72)/COUNTA(K71:K72),"")</f>
        <v>28234</v>
      </c>
      <c r="R71" s="411">
        <f>IFERROR(_xlfn.STDEV.S(L71:L72),"")</f>
        <v>3753.3227945381941</v>
      </c>
      <c r="S71" s="415">
        <f>IFERROR(R71/M71,"")</f>
        <v>0.13293627521917525</v>
      </c>
      <c r="T71" s="405" t="s">
        <v>1943</v>
      </c>
      <c r="U71" s="407">
        <f t="shared" si="26"/>
        <v>28234</v>
      </c>
      <c r="V71" s="379"/>
    </row>
    <row r="72" spans="1:22" ht="45" customHeight="1" x14ac:dyDescent="0.3">
      <c r="A72" s="390"/>
      <c r="B72" s="392"/>
      <c r="C72" s="420"/>
      <c r="D72" s="420"/>
      <c r="E72" s="422"/>
      <c r="F72" s="422"/>
      <c r="G72" s="423"/>
      <c r="H72" s="145" t="s">
        <v>722</v>
      </c>
      <c r="I72" s="22">
        <v>0</v>
      </c>
      <c r="J72" s="23">
        <v>0</v>
      </c>
      <c r="K72" s="24">
        <f>17200*1.04</f>
        <v>17888</v>
      </c>
      <c r="L72" s="5">
        <f>K72*G71+13000</f>
        <v>30888</v>
      </c>
      <c r="M72" s="412"/>
      <c r="N72" s="412"/>
      <c r="O72" s="412"/>
      <c r="P72" s="86">
        <f t="shared" si="31"/>
        <v>30888</v>
      </c>
      <c r="Q72" s="414"/>
      <c r="R72" s="412"/>
      <c r="S72" s="416"/>
      <c r="T72" s="406"/>
      <c r="U72" s="408">
        <f t="shared" si="26"/>
        <v>0</v>
      </c>
      <c r="V72" s="379"/>
    </row>
    <row r="73" spans="1:22" ht="45" customHeight="1" x14ac:dyDescent="0.3">
      <c r="A73" s="389">
        <v>34</v>
      </c>
      <c r="B73" s="886">
        <f>+'[2]Lote Agroindustria'!B35</f>
        <v>46181500</v>
      </c>
      <c r="C73" s="419" t="str">
        <f>+'[2]Lote Agroindustria'!C35</f>
        <v>TAPABOCAS DESECHABLE TERMOSELLADO 3 CAPAS</v>
      </c>
      <c r="D73" s="419" t="str">
        <f>+'[2]Lote Agroindustria'!D35</f>
        <v>Tapabocas desechable estándar, de un solo uso compuesto por 3 capas de tela no tejida (polipropileno), termosellado por ultrasonido, con BFE &gt; 95%.
Cuenta con 3 pliegues, clip nasal ajustable y elásticos de sujeción, diseñado para alta filtración de partículas y resistencia a fluidos. Color azul o blanco. Caja x 50 unidades</v>
      </c>
      <c r="E73" s="421" t="s">
        <v>1698</v>
      </c>
      <c r="F73" s="421" t="s">
        <v>373</v>
      </c>
      <c r="G73" s="391">
        <v>1</v>
      </c>
      <c r="H73" s="143" t="s">
        <v>1937</v>
      </c>
      <c r="I73" s="22">
        <v>0</v>
      </c>
      <c r="J73" s="23">
        <v>0</v>
      </c>
      <c r="K73" s="24">
        <f>14600*1.04</f>
        <v>15184</v>
      </c>
      <c r="L73" s="5">
        <f>K73*G73+10000</f>
        <v>25184</v>
      </c>
      <c r="M73" s="411">
        <f t="shared" ref="M73" si="32">IFERROR(AVERAGE(L73:L74),"")</f>
        <v>25522</v>
      </c>
      <c r="N73" s="411">
        <f>IFERROR(HARMEAN(L73:L74),"")</f>
        <v>25517.523705038788</v>
      </c>
      <c r="O73" s="411">
        <f>IFERROR(MEDIAN(L73:L74),"")</f>
        <v>25522</v>
      </c>
      <c r="P73" s="86">
        <f t="shared" si="31"/>
        <v>25184</v>
      </c>
      <c r="Q73" s="413">
        <f>IFERROR(SUM(P73:P74)/COUNTA(K73:K74),"")</f>
        <v>25522</v>
      </c>
      <c r="R73" s="411">
        <f>IFERROR(_xlfn.STDEV.S(L73:L74),"")</f>
        <v>478.00418408210612</v>
      </c>
      <c r="S73" s="415">
        <f>IFERROR(R73/M73,"")</f>
        <v>1.8729103678477632E-2</v>
      </c>
      <c r="T73" s="405" t="s">
        <v>1938</v>
      </c>
      <c r="U73" s="407">
        <f t="shared" si="26"/>
        <v>25522</v>
      </c>
      <c r="V73" s="379"/>
    </row>
    <row r="74" spans="1:22" ht="86.25" customHeight="1" x14ac:dyDescent="0.3">
      <c r="A74" s="390"/>
      <c r="B74" s="392"/>
      <c r="C74" s="420"/>
      <c r="D74" s="420"/>
      <c r="E74" s="422"/>
      <c r="F74" s="422"/>
      <c r="G74" s="423"/>
      <c r="H74" s="145" t="s">
        <v>1936</v>
      </c>
      <c r="I74" s="22">
        <v>0</v>
      </c>
      <c r="J74" s="23">
        <v>0</v>
      </c>
      <c r="K74" s="24">
        <f>15250*1.04</f>
        <v>15860</v>
      </c>
      <c r="L74" s="5">
        <f>K74*G73+10000</f>
        <v>25860</v>
      </c>
      <c r="M74" s="412"/>
      <c r="N74" s="412"/>
      <c r="O74" s="412"/>
      <c r="P74" s="86">
        <f t="shared" si="31"/>
        <v>25860</v>
      </c>
      <c r="Q74" s="414"/>
      <c r="R74" s="412"/>
      <c r="S74" s="416"/>
      <c r="T74" s="406"/>
      <c r="U74" s="408">
        <f t="shared" si="26"/>
        <v>0</v>
      </c>
      <c r="V74" s="379"/>
    </row>
    <row r="75" spans="1:22" ht="45" customHeight="1" x14ac:dyDescent="0.3">
      <c r="A75" s="389">
        <v>35</v>
      </c>
      <c r="B75" s="886">
        <f>+'[2]Lote Agroindustria'!B36</f>
        <v>52151704</v>
      </c>
      <c r="C75" s="419" t="str">
        <f>+'[2]Lote Agroindustria'!C36</f>
        <v>Cuchara</v>
      </c>
      <c r="D75" s="419" t="str">
        <f>+'[2]Lote Agroindustria'!D36</f>
        <v xml:space="preserve">CUCHARAS PARA SOPA, en acero inoxidable. 
Material apto para el contacto en alimentos. </v>
      </c>
      <c r="E75" s="421" t="s">
        <v>1698</v>
      </c>
      <c r="F75" s="421" t="s">
        <v>79</v>
      </c>
      <c r="G75" s="391">
        <v>1</v>
      </c>
      <c r="H75" s="145" t="s">
        <v>722</v>
      </c>
      <c r="I75" s="22">
        <v>0</v>
      </c>
      <c r="J75" s="23">
        <v>0</v>
      </c>
      <c r="K75" s="24">
        <f>4616*1.04</f>
        <v>4800.6400000000003</v>
      </c>
      <c r="L75" s="5">
        <f>K75*G75+13000</f>
        <v>17800.64</v>
      </c>
      <c r="M75" s="411">
        <f>IFERROR(AVERAGE(L75:L76),"")</f>
        <v>19082.983199999999</v>
      </c>
      <c r="N75" s="411">
        <f>IFERROR(HARMEAN(L75:L76),"")</f>
        <v>18996.811972715877</v>
      </c>
      <c r="O75" s="411">
        <f>IFERROR(MEDIAN(L75:L76),"")</f>
        <v>19082.983199999999</v>
      </c>
      <c r="P75" s="86">
        <f t="shared" si="31"/>
        <v>17800.64</v>
      </c>
      <c r="Q75" s="413">
        <f>IFERROR(SUM(P75:P76)/COUNTA(K75:K76),"")</f>
        <v>19082.983199999999</v>
      </c>
      <c r="R75" s="411">
        <f>IFERROR(_xlfn.STDEV.S(L75:L76),"")</f>
        <v>1813.5071450569135</v>
      </c>
      <c r="S75" s="415">
        <f>IFERROR(R75/M75,"")</f>
        <v>9.5032685720590773E-2</v>
      </c>
      <c r="T75" s="405" t="s">
        <v>1946</v>
      </c>
      <c r="U75" s="407">
        <f t="shared" si="26"/>
        <v>19082.983199999999</v>
      </c>
      <c r="V75" s="379"/>
    </row>
    <row r="76" spans="1:22" ht="45" customHeight="1" x14ac:dyDescent="0.3">
      <c r="A76" s="390"/>
      <c r="B76" s="392"/>
      <c r="C76" s="420"/>
      <c r="D76" s="420"/>
      <c r="E76" s="422"/>
      <c r="F76" s="422"/>
      <c r="G76" s="423"/>
      <c r="H76" s="145" t="s">
        <v>73</v>
      </c>
      <c r="I76" s="22">
        <v>0</v>
      </c>
      <c r="J76" s="23">
        <v>0</v>
      </c>
      <c r="K76" s="24">
        <f>9966.66*1.04</f>
        <v>10365.3264</v>
      </c>
      <c r="L76" s="5">
        <f>K76*G75+10000</f>
        <v>20365.326399999998</v>
      </c>
      <c r="M76" s="412"/>
      <c r="N76" s="412"/>
      <c r="O76" s="412"/>
      <c r="P76" s="86">
        <f t="shared" si="31"/>
        <v>20365.326399999998</v>
      </c>
      <c r="Q76" s="414"/>
      <c r="R76" s="412"/>
      <c r="S76" s="416"/>
      <c r="T76" s="406"/>
      <c r="U76" s="408">
        <f t="shared" si="26"/>
        <v>0</v>
      </c>
      <c r="V76" s="379"/>
    </row>
    <row r="77" spans="1:22" ht="45" customHeight="1" x14ac:dyDescent="0.3">
      <c r="A77" s="389">
        <v>36</v>
      </c>
      <c r="B77" s="886">
        <f>+'[2]Lote Agroindustria'!B37</f>
        <v>52151702</v>
      </c>
      <c r="C77" s="419" t="str">
        <f>+'[2]Lote Agroindustria'!C37</f>
        <v xml:space="preserve">Cuchillo </v>
      </c>
      <c r="D77" s="419" t="str">
        <f>+'[2]Lote Agroindustria'!D37</f>
        <v>Cuchillo profesional de hoja afilada, ancho 5 cm, alto 2 cm, largo 16cm y corte preciso,en acero inoxidable, mango de polipropileno moldeado blanco Certificacion NSF, libre de high carbon</v>
      </c>
      <c r="E77" s="421" t="s">
        <v>1698</v>
      </c>
      <c r="F77" s="421" t="s">
        <v>79</v>
      </c>
      <c r="G77" s="391">
        <v>1</v>
      </c>
      <c r="H77" s="145" t="s">
        <v>722</v>
      </c>
      <c r="I77" s="22">
        <v>0</v>
      </c>
      <c r="J77" s="23">
        <v>0</v>
      </c>
      <c r="K77" s="24">
        <f>18810*1.04</f>
        <v>19562.400000000001</v>
      </c>
      <c r="L77" s="5">
        <f>K77*G77+10000</f>
        <v>29562.400000000001</v>
      </c>
      <c r="M77" s="411">
        <f t="shared" ref="M77" si="33">IFERROR(AVERAGE(L77:L78),"")</f>
        <v>36889.199999999997</v>
      </c>
      <c r="N77" s="411">
        <f>IFERROR(HARMEAN(L77:L78),"")</f>
        <v>35433.977380913653</v>
      </c>
      <c r="O77" s="411">
        <f>IFERROR(MEDIAN(L77:L78),"")</f>
        <v>36889.199999999997</v>
      </c>
      <c r="P77" s="86">
        <f t="shared" si="31"/>
        <v>29562.400000000001</v>
      </c>
      <c r="Q77" s="413">
        <f>IFERROR(SUM(P77:P78)/COUNTA(K77:K78),"")</f>
        <v>36889.199999999997</v>
      </c>
      <c r="R77" s="411">
        <f>IFERROR(_xlfn.STDEV.S(L77:L78),"")</f>
        <v>10361.659928795218</v>
      </c>
      <c r="S77" s="415">
        <f>IFERROR(R77/M77,"")</f>
        <v>0.28088600264563118</v>
      </c>
      <c r="T77" s="405" t="s">
        <v>1946</v>
      </c>
      <c r="U77" s="407">
        <f t="shared" si="26"/>
        <v>36889.199999999997</v>
      </c>
      <c r="V77" s="379"/>
    </row>
    <row r="78" spans="1:22" ht="45" customHeight="1" x14ac:dyDescent="0.3">
      <c r="A78" s="390"/>
      <c r="B78" s="392"/>
      <c r="C78" s="420"/>
      <c r="D78" s="420"/>
      <c r="E78" s="422"/>
      <c r="F78" s="422"/>
      <c r="G78" s="423"/>
      <c r="H78" s="145" t="s">
        <v>73</v>
      </c>
      <c r="I78" s="22">
        <v>0</v>
      </c>
      <c r="J78" s="23">
        <v>0</v>
      </c>
      <c r="K78" s="24">
        <f>32900*1.04</f>
        <v>34216</v>
      </c>
      <c r="L78" s="5">
        <f>K78*G77+10000</f>
        <v>44216</v>
      </c>
      <c r="M78" s="412"/>
      <c r="N78" s="412"/>
      <c r="O78" s="412"/>
      <c r="P78" s="86">
        <f t="shared" si="31"/>
        <v>44216</v>
      </c>
      <c r="Q78" s="414"/>
      <c r="R78" s="412"/>
      <c r="S78" s="416"/>
      <c r="T78" s="406"/>
      <c r="U78" s="408">
        <f t="shared" si="26"/>
        <v>0</v>
      </c>
      <c r="V78" s="379"/>
    </row>
    <row r="79" spans="1:22" ht="45" customHeight="1" x14ac:dyDescent="0.3">
      <c r="A79" s="389">
        <v>37</v>
      </c>
      <c r="B79" s="886">
        <f>+'[2]Lote Agroindustria'!B38</f>
        <v>52151702</v>
      </c>
      <c r="C79" s="419" t="str">
        <f>+'[2]Lote Agroindustria'!C38</f>
        <v xml:space="preserve">Cuchillo </v>
      </c>
      <c r="D79" s="419" t="str">
        <f>+'[2]Lote Agroindustria'!D38</f>
        <v>Cuchillo profesional de hoja afilada, ancho 7 cm, alto 35 cm, largo 2cm y corte preciso,en acero inoxidable, mango de polipropileno moldeado blanco Certificacion NSF, libre de high carbon.</v>
      </c>
      <c r="E79" s="421" t="s">
        <v>1698</v>
      </c>
      <c r="F79" s="421" t="s">
        <v>79</v>
      </c>
      <c r="G79" s="391">
        <v>1</v>
      </c>
      <c r="H79" s="145" t="s">
        <v>722</v>
      </c>
      <c r="I79" s="22">
        <v>0</v>
      </c>
      <c r="J79" s="23">
        <v>0</v>
      </c>
      <c r="K79" s="24">
        <f>32089*1.04</f>
        <v>33372.559999999998</v>
      </c>
      <c r="L79" s="5">
        <f>K79*G79+10000</f>
        <v>43372.56</v>
      </c>
      <c r="M79" s="411">
        <f t="shared" ref="M79" si="34">IFERROR(AVERAGE(L79:L80),"")</f>
        <v>52114.28</v>
      </c>
      <c r="N79" s="411">
        <f>IFERROR(HARMEAN(L79:L80),"")</f>
        <v>50647.932032448691</v>
      </c>
      <c r="O79" s="411">
        <f>IFERROR(MEDIAN(L79:L80),"")</f>
        <v>52114.28</v>
      </c>
      <c r="P79" s="86">
        <f t="shared" si="31"/>
        <v>43372.56</v>
      </c>
      <c r="Q79" s="413">
        <f>IFERROR(SUM(P79:P80)/COUNTA(K79:K80),"")</f>
        <v>52114.28</v>
      </c>
      <c r="R79" s="411">
        <f>IFERROR(_xlfn.STDEV.S(L79:L80),"")</f>
        <v>12362.658982468145</v>
      </c>
      <c r="S79" s="415">
        <f>IFERROR(R79/M79,"")</f>
        <v>0.2372221007844327</v>
      </c>
      <c r="T79" s="405" t="s">
        <v>1946</v>
      </c>
      <c r="U79" s="407">
        <f t="shared" si="26"/>
        <v>52114.28</v>
      </c>
      <c r="V79" s="379"/>
    </row>
    <row r="80" spans="1:22" ht="45" customHeight="1" x14ac:dyDescent="0.3">
      <c r="A80" s="390"/>
      <c r="B80" s="392"/>
      <c r="C80" s="420"/>
      <c r="D80" s="420"/>
      <c r="E80" s="422"/>
      <c r="F80" s="422"/>
      <c r="G80" s="423"/>
      <c r="H80" s="145" t="s">
        <v>73</v>
      </c>
      <c r="I80" s="22">
        <v>0</v>
      </c>
      <c r="J80" s="23">
        <v>0</v>
      </c>
      <c r="K80" s="24">
        <f>48900*1.04</f>
        <v>50856</v>
      </c>
      <c r="L80" s="5">
        <f>K80*G79+10000</f>
        <v>60856</v>
      </c>
      <c r="M80" s="412"/>
      <c r="N80" s="412"/>
      <c r="O80" s="412"/>
      <c r="P80" s="86">
        <f t="shared" si="31"/>
        <v>60856</v>
      </c>
      <c r="Q80" s="414"/>
      <c r="R80" s="412"/>
      <c r="S80" s="416"/>
      <c r="T80" s="406"/>
      <c r="U80" s="408">
        <f t="shared" si="26"/>
        <v>0</v>
      </c>
      <c r="V80" s="379"/>
    </row>
    <row r="81" spans="1:22" ht="45" customHeight="1" x14ac:dyDescent="0.3">
      <c r="A81" s="389">
        <v>38</v>
      </c>
      <c r="B81" s="886">
        <f>+'[2]Lote Agroindustria'!B39</f>
        <v>52151603</v>
      </c>
      <c r="C81" s="419" t="str">
        <f>+'[2]Lote Agroindustria'!C39</f>
        <v>Rallador profesional</v>
      </c>
      <c r="D81" s="419" t="str">
        <f>+'[2]Lote Agroindustria'!D39</f>
        <v>Rallador profesional en acero inoxidable, cinco usos, de 8,5", con cuerpo inoxidable, asa de ABS y acero inoxidable. Permite realizar 5 tipos de cortes: rallado grueso, fino, juliana y especias. Ancho 13,2 cm largo 13,2 cm.</v>
      </c>
      <c r="E81" s="421" t="s">
        <v>1698</v>
      </c>
      <c r="F81" s="421" t="s">
        <v>79</v>
      </c>
      <c r="G81" s="391">
        <v>1</v>
      </c>
      <c r="H81" s="143" t="s">
        <v>1937</v>
      </c>
      <c r="I81" s="22">
        <v>0</v>
      </c>
      <c r="J81" s="23">
        <v>0</v>
      </c>
      <c r="K81" s="24">
        <f>47900*1.04</f>
        <v>49816</v>
      </c>
      <c r="L81" s="5">
        <f>K81*G81+10000</f>
        <v>59816</v>
      </c>
      <c r="M81" s="411">
        <f t="shared" ref="M81" si="35">IFERROR(AVERAGE(L81:L82),"")</f>
        <v>59342.8</v>
      </c>
      <c r="N81" s="411">
        <f>IFERROR(HARMEAN(L81:L82),"")</f>
        <v>59339.026699110931</v>
      </c>
      <c r="O81" s="411">
        <f>IFERROR(MEDIAN(L81:L82),"")</f>
        <v>59342.8</v>
      </c>
      <c r="P81" s="86">
        <f t="shared" si="31"/>
        <v>59816</v>
      </c>
      <c r="Q81" s="413">
        <f>IFERROR(SUM(P81:P82)/COUNTA(K81:K82),"")</f>
        <v>59342.8</v>
      </c>
      <c r="R81" s="411">
        <f>IFERROR(_xlfn.STDEV.S(L81:L82),"")</f>
        <v>669.20585771494962</v>
      </c>
      <c r="S81" s="415">
        <f>IFERROR(R81/M81,"")</f>
        <v>1.127695116703205E-2</v>
      </c>
      <c r="T81" s="405" t="s">
        <v>1938</v>
      </c>
      <c r="U81" s="407">
        <f t="shared" si="26"/>
        <v>59342.8</v>
      </c>
      <c r="V81" s="379"/>
    </row>
    <row r="82" spans="1:22" ht="45" customHeight="1" x14ac:dyDescent="0.3">
      <c r="A82" s="390"/>
      <c r="B82" s="392"/>
      <c r="C82" s="420"/>
      <c r="D82" s="420"/>
      <c r="E82" s="422"/>
      <c r="F82" s="422"/>
      <c r="G82" s="423"/>
      <c r="H82" s="145" t="s">
        <v>1936</v>
      </c>
      <c r="I82" s="22">
        <v>0</v>
      </c>
      <c r="J82" s="23">
        <v>0</v>
      </c>
      <c r="K82" s="24">
        <f>46990*1.04</f>
        <v>48869.599999999999</v>
      </c>
      <c r="L82" s="5">
        <f>K82*G81+10000</f>
        <v>58869.599999999999</v>
      </c>
      <c r="M82" s="412"/>
      <c r="N82" s="412"/>
      <c r="O82" s="412"/>
      <c r="P82" s="86">
        <f t="shared" si="31"/>
        <v>58869.599999999999</v>
      </c>
      <c r="Q82" s="414"/>
      <c r="R82" s="412"/>
      <c r="S82" s="416"/>
      <c r="T82" s="406"/>
      <c r="U82" s="408">
        <f t="shared" si="26"/>
        <v>0</v>
      </c>
      <c r="V82" s="379"/>
    </row>
    <row r="83" spans="1:22" ht="45" customHeight="1" x14ac:dyDescent="0.3">
      <c r="A83" s="389">
        <v>39</v>
      </c>
      <c r="B83" s="886">
        <f>+'[2]Lote Agroindustria'!B40</f>
        <v>52151636</v>
      </c>
      <c r="C83" s="419" t="str">
        <f>+'[2]Lote Agroindustria'!C40</f>
        <v>Raspe en acero inoxidable 15 a 24cm</v>
      </c>
      <c r="D83" s="419" t="str">
        <f>+'[2]Lote Agroindustria'!D40</f>
        <v>Raspe con hoja de acero inoxidable, cortador y con mango blanco o negro de polipropileno está fabricado Divida su masa para el control de las porciones o simplemente asegúrese de que está utilizando su masa de manera eficiente con este raspador de masa. Este raspador de masa de acero tiene una medida de 15.24 cm x 7.62 cm. Úsalo para despegar o recoger una pasta, crema, chocolate derretido de las paredes de un recipiente o una placa</v>
      </c>
      <c r="E83" s="421" t="s">
        <v>1698</v>
      </c>
      <c r="F83" s="421" t="s">
        <v>79</v>
      </c>
      <c r="G83" s="391">
        <v>1</v>
      </c>
      <c r="H83" s="143" t="s">
        <v>1942</v>
      </c>
      <c r="I83" s="22">
        <v>0</v>
      </c>
      <c r="J83" s="23">
        <v>0</v>
      </c>
      <c r="K83" s="24">
        <f>38000*1.04</f>
        <v>39520</v>
      </c>
      <c r="L83" s="5">
        <f>K83*G83+13000</f>
        <v>52520</v>
      </c>
      <c r="M83" s="411">
        <f t="shared" ref="M83" si="36">IFERROR(AVERAGE(L83:L84),"")</f>
        <v>47640</v>
      </c>
      <c r="N83" s="411">
        <f>IFERROR(HARMEAN(L83:L84),"")</f>
        <v>47140.117548278758</v>
      </c>
      <c r="O83" s="411">
        <f>IFERROR(MEDIAN(L83:L84),"")</f>
        <v>47640</v>
      </c>
      <c r="P83" s="86">
        <f t="shared" si="31"/>
        <v>52520</v>
      </c>
      <c r="Q83" s="413">
        <f>IFERROR(SUM(P83:P84)/COUNTA(K83:K84),"")</f>
        <v>47640</v>
      </c>
      <c r="R83" s="411">
        <f>IFERROR(_xlfn.STDEV.S(L83:L84),"")</f>
        <v>6901.3621843807041</v>
      </c>
      <c r="S83" s="415">
        <f>IFERROR(R83/M83,"")</f>
        <v>0.14486486533124904</v>
      </c>
      <c r="T83" s="405" t="s">
        <v>1951</v>
      </c>
      <c r="U83" s="407">
        <f t="shared" si="26"/>
        <v>47640</v>
      </c>
      <c r="V83" s="379"/>
    </row>
    <row r="84" spans="1:22" ht="96" customHeight="1" x14ac:dyDescent="0.3">
      <c r="A84" s="390"/>
      <c r="B84" s="392"/>
      <c r="C84" s="420"/>
      <c r="D84" s="420"/>
      <c r="E84" s="422"/>
      <c r="F84" s="422"/>
      <c r="G84" s="423"/>
      <c r="H84" s="143" t="s">
        <v>1940</v>
      </c>
      <c r="I84" s="22">
        <v>0</v>
      </c>
      <c r="J84" s="23">
        <v>0</v>
      </c>
      <c r="K84" s="24">
        <f>31500*1.04</f>
        <v>32760</v>
      </c>
      <c r="L84" s="5">
        <f>K84*G83+10000</f>
        <v>42760</v>
      </c>
      <c r="M84" s="412"/>
      <c r="N84" s="412"/>
      <c r="O84" s="412"/>
      <c r="P84" s="86">
        <f t="shared" si="31"/>
        <v>42760</v>
      </c>
      <c r="Q84" s="414"/>
      <c r="R84" s="412"/>
      <c r="S84" s="416"/>
      <c r="T84" s="406"/>
      <c r="U84" s="408">
        <f t="shared" si="26"/>
        <v>0</v>
      </c>
      <c r="V84" s="379"/>
    </row>
    <row r="85" spans="1:22" ht="45" customHeight="1" x14ac:dyDescent="0.3">
      <c r="A85" s="389">
        <v>40</v>
      </c>
      <c r="B85" s="886">
        <f>+'[2]Lote Agroindustria'!B41</f>
        <v>52151636</v>
      </c>
      <c r="C85" s="419" t="str">
        <f>+'[2]Lote Agroindustria'!C41</f>
        <v>Raspe o raspador plástico</v>
      </c>
      <c r="D85" s="419" t="str">
        <f>+'[2]Lote Agroindustria'!D41</f>
        <v>Recolector de masa adherida en diferentes superficies. De 8 cm a 13 cm de ancho, forma rectangular de color blanco, con una perforación que permite que sea colgada, material plàstica.</v>
      </c>
      <c r="E85" s="421" t="s">
        <v>1698</v>
      </c>
      <c r="F85" s="421" t="s">
        <v>79</v>
      </c>
      <c r="G85" s="391">
        <v>1</v>
      </c>
      <c r="H85" s="143" t="s">
        <v>1942</v>
      </c>
      <c r="I85" s="22">
        <v>0</v>
      </c>
      <c r="J85" s="23">
        <v>0</v>
      </c>
      <c r="K85" s="24">
        <f>7000*1.04</f>
        <v>7280</v>
      </c>
      <c r="L85" s="5">
        <f>K85*G85+13000</f>
        <v>20280</v>
      </c>
      <c r="M85" s="411">
        <f t="shared" ref="M85" si="37">IFERROR(AVERAGE(L85:L86),"")</f>
        <v>19196</v>
      </c>
      <c r="N85" s="411">
        <f>IFERROR(HARMEAN(L85:L86),"")</f>
        <v>19134.786413836217</v>
      </c>
      <c r="O85" s="411">
        <f>IFERROR(MEDIAN(L85:L86),"")</f>
        <v>19196</v>
      </c>
      <c r="P85" s="86">
        <f t="shared" si="31"/>
        <v>20280</v>
      </c>
      <c r="Q85" s="413">
        <f>IFERROR(SUM(P85:P86)/COUNTA(K85:K86),"")</f>
        <v>19196</v>
      </c>
      <c r="R85" s="411">
        <f>IFERROR(_xlfn.STDEV.S(L85:L86),"")</f>
        <v>1533.0075016124351</v>
      </c>
      <c r="S85" s="415">
        <f>IFERROR(R85/M85,"")</f>
        <v>7.9860778371141652E-2</v>
      </c>
      <c r="T85" s="405" t="s">
        <v>1951</v>
      </c>
      <c r="U85" s="407">
        <f t="shared" si="26"/>
        <v>19196</v>
      </c>
      <c r="V85" s="379"/>
    </row>
    <row r="86" spans="1:22" ht="45" customHeight="1" x14ac:dyDescent="0.3">
      <c r="A86" s="390"/>
      <c r="B86" s="392"/>
      <c r="C86" s="420"/>
      <c r="D86" s="420"/>
      <c r="E86" s="422"/>
      <c r="F86" s="422"/>
      <c r="G86" s="423"/>
      <c r="H86" s="143" t="s">
        <v>1940</v>
      </c>
      <c r="I86" s="22">
        <v>0</v>
      </c>
      <c r="J86" s="23">
        <v>0</v>
      </c>
      <c r="K86" s="24">
        <f>7800*1.04</f>
        <v>8112</v>
      </c>
      <c r="L86" s="5">
        <f>K86*G85+10000</f>
        <v>18112</v>
      </c>
      <c r="M86" s="412"/>
      <c r="N86" s="412"/>
      <c r="O86" s="412"/>
      <c r="P86" s="86">
        <f t="shared" si="31"/>
        <v>18112</v>
      </c>
      <c r="Q86" s="414"/>
      <c r="R86" s="412"/>
      <c r="S86" s="416"/>
      <c r="T86" s="406"/>
      <c r="U86" s="408">
        <f t="shared" si="26"/>
        <v>0</v>
      </c>
      <c r="V86" s="379"/>
    </row>
    <row r="87" spans="1:22" ht="45" customHeight="1" x14ac:dyDescent="0.3">
      <c r="A87" s="389">
        <v>41</v>
      </c>
      <c r="B87" s="886">
        <f>+'[2]Lote Agroindustria'!B42</f>
        <v>52152002</v>
      </c>
      <c r="C87" s="419" t="str">
        <f>+'[2]Lote Agroindustria'!C42</f>
        <v>Set x 3 Bowls Recipiente plástico para microondas 1,5 a 2 lt</v>
      </c>
      <c r="D87" s="419" t="str">
        <f>+'[2]Lote Agroindustria'!D42</f>
        <v>Bowls plásticos (PP) prácticos para derretir o fundir chocolate en el microondas. Incluye tapa protectora, espátula y soporte para los dedos. El bowl grande cuenta con un pico en el lateral que aporta mayor practicidad a la hora de verter el chocolate derretido en los moldes. Facilita la fusión del chocolate en pocos minutos y lo deja con una textura suave, homogénea y brillante. Libre de BPA.L.</v>
      </c>
      <c r="E87" s="421" t="s">
        <v>1698</v>
      </c>
      <c r="F87" s="421" t="s">
        <v>141</v>
      </c>
      <c r="G87" s="391">
        <v>1</v>
      </c>
      <c r="H87" s="143" t="s">
        <v>1942</v>
      </c>
      <c r="I87" s="22">
        <v>0</v>
      </c>
      <c r="J87" s="23">
        <v>0</v>
      </c>
      <c r="K87" s="24">
        <f>99899*1.04</f>
        <v>103894.96</v>
      </c>
      <c r="L87" s="5">
        <f>K87*G87+10000</f>
        <v>113894.96</v>
      </c>
      <c r="M87" s="411">
        <f t="shared" ref="M87" si="38">IFERROR(AVERAGE(L87:L88),"")</f>
        <v>103495.48000000001</v>
      </c>
      <c r="N87" s="411">
        <f>IFERROR(HARMEAN(L87:L88),"")</f>
        <v>102450.51471001439</v>
      </c>
      <c r="O87" s="411">
        <f>IFERROR(MEDIAN(L87:L88),"")</f>
        <v>103495.48000000001</v>
      </c>
      <c r="P87" s="86">
        <f t="shared" si="31"/>
        <v>113894.96</v>
      </c>
      <c r="Q87" s="413">
        <f>IFERROR(SUM(P87:P88)/COUNTA(K87:K88),"")</f>
        <v>103495.48000000001</v>
      </c>
      <c r="R87" s="411">
        <f>IFERROR(_xlfn.STDEV.S(L87:L88),"")</f>
        <v>14707.085657627758</v>
      </c>
      <c r="S87" s="415">
        <f>IFERROR(R87/M87,"")</f>
        <v>0.14210365184670631</v>
      </c>
      <c r="T87" s="405" t="s">
        <v>1951</v>
      </c>
      <c r="U87" s="407">
        <f t="shared" si="26"/>
        <v>103495.48000000001</v>
      </c>
      <c r="V87" s="379"/>
    </row>
    <row r="88" spans="1:22" ht="45" customHeight="1" x14ac:dyDescent="0.3">
      <c r="A88" s="390"/>
      <c r="B88" s="392"/>
      <c r="C88" s="420"/>
      <c r="D88" s="420"/>
      <c r="E88" s="422"/>
      <c r="F88" s="422"/>
      <c r="G88" s="423"/>
      <c r="H88" s="143" t="s">
        <v>1940</v>
      </c>
      <c r="I88" s="22">
        <v>0</v>
      </c>
      <c r="J88" s="23">
        <v>0</v>
      </c>
      <c r="K88" s="24">
        <f>79900*1.04</f>
        <v>83096</v>
      </c>
      <c r="L88" s="5">
        <f>K88*G87+10000</f>
        <v>93096</v>
      </c>
      <c r="M88" s="412"/>
      <c r="N88" s="412"/>
      <c r="O88" s="412"/>
      <c r="P88" s="86">
        <f t="shared" si="31"/>
        <v>93096</v>
      </c>
      <c r="Q88" s="414"/>
      <c r="R88" s="412"/>
      <c r="S88" s="416"/>
      <c r="T88" s="406"/>
      <c r="U88" s="408">
        <f t="shared" si="26"/>
        <v>0</v>
      </c>
      <c r="V88" s="379"/>
    </row>
    <row r="89" spans="1:22" ht="45" customHeight="1" x14ac:dyDescent="0.3">
      <c r="A89" s="389">
        <v>42</v>
      </c>
      <c r="B89" s="886">
        <f>+'[2]Lote Agroindustria'!B43</f>
        <v>52152002</v>
      </c>
      <c r="C89" s="419" t="str">
        <f>+'[2]Lote Agroindustria'!C43</f>
        <v>Bowls Recipiente plástico para microondas 3 a 3,5 lt</v>
      </c>
      <c r="D89" s="419" t="str">
        <f>+'[2]Lote Agroindustria'!D43</f>
        <v>Recipiente plástico,  tipo bowl, media esfera, . Base interna redonda y lisa, con curvatura continua, Borde  superior con curvatura lisa y continua,  Producto originalmente sin tapa,  aptos para microondas y libres de BPA (Bisfenol A), recipiente hermético, de excelente calidad, material resistente y duradero, polipropileno.  Uso Doméstico, ideal para almacenar y conservar mejor los alimentos. Color blanco o transparente, capacidad 3 a 3,5 litros.</v>
      </c>
      <c r="E89" s="421" t="s">
        <v>1698</v>
      </c>
      <c r="F89" s="421" t="s">
        <v>79</v>
      </c>
      <c r="G89" s="391">
        <v>1</v>
      </c>
      <c r="H89" s="145" t="s">
        <v>722</v>
      </c>
      <c r="I89" s="22">
        <v>0</v>
      </c>
      <c r="J89" s="23">
        <v>0</v>
      </c>
      <c r="K89" s="24">
        <f>31490*1.04</f>
        <v>32749.600000000002</v>
      </c>
      <c r="L89" s="5">
        <f>K89*G89+10000</f>
        <v>42749.600000000006</v>
      </c>
      <c r="M89" s="411">
        <f t="shared" ref="M89" si="39">IFERROR(AVERAGE(L89:L90),"")</f>
        <v>42962.8</v>
      </c>
      <c r="N89" s="411">
        <f>IFERROR(HARMEAN(L89:L90),"")</f>
        <v>42961.742009366244</v>
      </c>
      <c r="O89" s="411">
        <f>IFERROR(MEDIAN(L89:L90),"")</f>
        <v>42962.8</v>
      </c>
      <c r="P89" s="86">
        <f t="shared" si="31"/>
        <v>42749.600000000006</v>
      </c>
      <c r="Q89" s="413">
        <f>IFERROR(SUM(P89:P90)/COUNTA(K89:K90),"")</f>
        <v>42962.8</v>
      </c>
      <c r="R89" s="411">
        <f>IFERROR(_xlfn.STDEV.S(L89:L90),"")</f>
        <v>301.51033149793977</v>
      </c>
      <c r="S89" s="415">
        <f>IFERROR(R89/M89,"")</f>
        <v>7.0179395080846628E-3</v>
      </c>
      <c r="T89" s="405" t="s">
        <v>1946</v>
      </c>
      <c r="U89" s="407">
        <f t="shared" si="26"/>
        <v>42962.8</v>
      </c>
      <c r="V89" s="379"/>
    </row>
    <row r="90" spans="1:22" ht="45" customHeight="1" x14ac:dyDescent="0.3">
      <c r="A90" s="390"/>
      <c r="B90" s="392"/>
      <c r="C90" s="420"/>
      <c r="D90" s="420"/>
      <c r="E90" s="422"/>
      <c r="F90" s="422"/>
      <c r="G90" s="423"/>
      <c r="H90" s="145" t="s">
        <v>73</v>
      </c>
      <c r="I90" s="22">
        <v>0</v>
      </c>
      <c r="J90" s="23">
        <v>0</v>
      </c>
      <c r="K90" s="24">
        <f>31900*1.04</f>
        <v>33176</v>
      </c>
      <c r="L90" s="5">
        <f>K90*G89+10000</f>
        <v>43176</v>
      </c>
      <c r="M90" s="412"/>
      <c r="N90" s="412"/>
      <c r="O90" s="412"/>
      <c r="P90" s="86">
        <f t="shared" si="31"/>
        <v>43176</v>
      </c>
      <c r="Q90" s="414"/>
      <c r="R90" s="412"/>
      <c r="S90" s="416"/>
      <c r="T90" s="406"/>
      <c r="U90" s="408">
        <f t="shared" si="26"/>
        <v>0</v>
      </c>
      <c r="V90" s="379"/>
    </row>
    <row r="91" spans="1:22" ht="45" customHeight="1" x14ac:dyDescent="0.3">
      <c r="A91" s="389">
        <v>43</v>
      </c>
      <c r="B91" s="886">
        <f>+'[2]Lote Agroindustria'!B44</f>
        <v>52152002</v>
      </c>
      <c r="C91" s="419" t="str">
        <f>+'[2]Lote Agroindustria'!C44</f>
        <v>Recipiente plástico redondos con tapa, 3,6 lt</v>
      </c>
      <c r="D91" s="419" t="str">
        <f>+'[2]Lote Agroindustria'!D44</f>
        <v>Recipiente hermético con tapa. Capacidad: 3,6 L. Material plástico libre de BPA (Bisfenol A). Ideal para almacenar y conservar los alimentos. Color traslúcido.</v>
      </c>
      <c r="E91" s="421" t="s">
        <v>1698</v>
      </c>
      <c r="F91" s="421" t="s">
        <v>79</v>
      </c>
      <c r="G91" s="391">
        <v>1</v>
      </c>
      <c r="H91" s="145" t="s">
        <v>722</v>
      </c>
      <c r="I91" s="22">
        <v>0</v>
      </c>
      <c r="J91" s="23">
        <v>0</v>
      </c>
      <c r="K91" s="24">
        <f>32490*1.04</f>
        <v>33789.599999999999</v>
      </c>
      <c r="L91" s="5">
        <f>K91*G91+10000</f>
        <v>43789.599999999999</v>
      </c>
      <c r="M91" s="411">
        <f t="shared" ref="M91" si="40">IFERROR(AVERAGE(L91:L92),"")</f>
        <v>36419.64</v>
      </c>
      <c r="N91" s="411">
        <f>IFERROR(HARMEAN(L91:L92),"")</f>
        <v>34928.238371603897</v>
      </c>
      <c r="O91" s="411">
        <f>IFERROR(MEDIAN(L91:L92),"")</f>
        <v>36419.64</v>
      </c>
      <c r="P91" s="86">
        <f t="shared" si="31"/>
        <v>43789.599999999999</v>
      </c>
      <c r="Q91" s="413">
        <f>IFERROR(SUM(P91:P92)/COUNTA(K91:K92),"")</f>
        <v>36419.64</v>
      </c>
      <c r="R91" s="411">
        <f>IFERROR(_xlfn.STDEV.S(L91:L92),"")</f>
        <v>10422.697386147205</v>
      </c>
      <c r="S91" s="415">
        <f>IFERROR(R91/M91,"")</f>
        <v>0.28618342702308991</v>
      </c>
      <c r="T91" s="405" t="s">
        <v>1946</v>
      </c>
      <c r="U91" s="407">
        <f t="shared" si="26"/>
        <v>36419.64</v>
      </c>
      <c r="V91" s="379"/>
    </row>
    <row r="92" spans="1:22" ht="45" customHeight="1" x14ac:dyDescent="0.3">
      <c r="A92" s="390"/>
      <c r="B92" s="392"/>
      <c r="C92" s="420"/>
      <c r="D92" s="420"/>
      <c r="E92" s="422"/>
      <c r="F92" s="422"/>
      <c r="G92" s="423"/>
      <c r="H92" s="145" t="s">
        <v>73</v>
      </c>
      <c r="I92" s="22">
        <v>0</v>
      </c>
      <c r="J92" s="23">
        <v>0</v>
      </c>
      <c r="K92" s="24">
        <f>18317*1.04</f>
        <v>19049.68</v>
      </c>
      <c r="L92" s="5">
        <f t="shared" ref="L92:L122" si="41">K92*G91+10000</f>
        <v>29049.68</v>
      </c>
      <c r="M92" s="412"/>
      <c r="N92" s="412"/>
      <c r="O92" s="412"/>
      <c r="P92" s="86">
        <f t="shared" si="31"/>
        <v>29049.68</v>
      </c>
      <c r="Q92" s="414"/>
      <c r="R92" s="412"/>
      <c r="S92" s="416"/>
      <c r="T92" s="406"/>
      <c r="U92" s="408">
        <f t="shared" si="26"/>
        <v>0</v>
      </c>
      <c r="V92" s="379"/>
    </row>
    <row r="93" spans="1:22" ht="45" customHeight="1" x14ac:dyDescent="0.3">
      <c r="A93" s="389">
        <v>44</v>
      </c>
      <c r="B93" s="886">
        <f>+'[2]Lote Agroindustria'!B45</f>
        <v>52151606</v>
      </c>
      <c r="C93" s="419" t="str">
        <f>+'[2]Lote Agroindustria'!C45</f>
        <v>Tabla para cortar en acero inoxidable</v>
      </c>
      <c r="D93" s="419" t="str">
        <f>+'[2]Lote Agroindustria'!D45</f>
        <v>Esta tabla para picar, fabricada en acero inoxidable, es resistente e higiénica, además no absorbe olores ni bacterias. Con un largo de 29 cm y un ancho de 20 cm</v>
      </c>
      <c r="E93" s="421" t="s">
        <v>1698</v>
      </c>
      <c r="F93" s="421" t="s">
        <v>79</v>
      </c>
      <c r="G93" s="391">
        <v>1</v>
      </c>
      <c r="H93" s="145" t="s">
        <v>722</v>
      </c>
      <c r="I93" s="22">
        <v>0</v>
      </c>
      <c r="J93" s="23">
        <v>0</v>
      </c>
      <c r="K93" s="24">
        <f>40674*1.04</f>
        <v>42300.959999999999</v>
      </c>
      <c r="L93" s="5">
        <f>K93*G93+10000</f>
        <v>52300.959999999999</v>
      </c>
      <c r="M93" s="411">
        <f t="shared" ref="M93" si="42">IFERROR(AVERAGE(L93:L94),"")</f>
        <v>49298.479999999996</v>
      </c>
      <c r="N93" s="411">
        <f>IFERROR(HARMEAN(L93:L94),"")</f>
        <v>49115.616630776443</v>
      </c>
      <c r="O93" s="411">
        <f>IFERROR(MEDIAN(L93:L94),"")</f>
        <v>49298.479999999996</v>
      </c>
      <c r="P93" s="86">
        <f t="shared" si="31"/>
        <v>52300.959999999999</v>
      </c>
      <c r="Q93" s="413">
        <f>IFERROR(SUM(P93:P94)/COUNTA(K93:K94),"")</f>
        <v>49298.479999999996</v>
      </c>
      <c r="R93" s="411">
        <f>IFERROR(_xlfn.STDEV.S(L93:L94),"")</f>
        <v>4246.1479367539696</v>
      </c>
      <c r="S93" s="415">
        <f>IFERROR(R93/M93,"")</f>
        <v>8.6131416967703059E-2</v>
      </c>
      <c r="T93" s="405" t="s">
        <v>1946</v>
      </c>
      <c r="U93" s="407">
        <f t="shared" si="26"/>
        <v>49298.479999999996</v>
      </c>
      <c r="V93" s="379"/>
    </row>
    <row r="94" spans="1:22" ht="45" customHeight="1" x14ac:dyDescent="0.3">
      <c r="A94" s="390"/>
      <c r="B94" s="392"/>
      <c r="C94" s="420"/>
      <c r="D94" s="420"/>
      <c r="E94" s="422"/>
      <c r="F94" s="422"/>
      <c r="G94" s="423"/>
      <c r="H94" s="145" t="s">
        <v>73</v>
      </c>
      <c r="I94" s="22">
        <v>0</v>
      </c>
      <c r="J94" s="23">
        <v>0</v>
      </c>
      <c r="K94" s="24">
        <f>34900*1.04</f>
        <v>36296</v>
      </c>
      <c r="L94" s="5">
        <f t="shared" si="41"/>
        <v>46296</v>
      </c>
      <c r="M94" s="412"/>
      <c r="N94" s="412"/>
      <c r="O94" s="412"/>
      <c r="P94" s="86">
        <f t="shared" si="31"/>
        <v>46296</v>
      </c>
      <c r="Q94" s="414"/>
      <c r="R94" s="412"/>
      <c r="S94" s="416"/>
      <c r="T94" s="406"/>
      <c r="U94" s="408">
        <f t="shared" si="26"/>
        <v>0</v>
      </c>
      <c r="V94" s="379"/>
    </row>
    <row r="95" spans="1:22" ht="45" customHeight="1" x14ac:dyDescent="0.3">
      <c r="A95" s="389">
        <v>45</v>
      </c>
      <c r="B95" s="886">
        <f>+'[2]Lote Agroindustria'!B46</f>
        <v>48101902</v>
      </c>
      <c r="C95" s="419" t="str">
        <f>+'[2]Lote Agroindustria'!C46</f>
        <v>Tenedor en acero inoxidable</v>
      </c>
      <c r="D95" s="419" t="str">
        <f>+'[2]Lote Agroindustria'!D46</f>
        <v>Tenedor, accesorio menaje, piezas para servir, fabricado en acero inoxidable. Ancho 4,5 cm x 25 cm de largo.</v>
      </c>
      <c r="E95" s="421" t="s">
        <v>1698</v>
      </c>
      <c r="F95" s="421" t="s">
        <v>79</v>
      </c>
      <c r="G95" s="391">
        <v>1</v>
      </c>
      <c r="H95" s="145" t="s">
        <v>722</v>
      </c>
      <c r="I95" s="22">
        <v>0</v>
      </c>
      <c r="J95" s="23">
        <v>0</v>
      </c>
      <c r="K95" s="24">
        <f>4414*1.04</f>
        <v>4590.5600000000004</v>
      </c>
      <c r="L95" s="5">
        <f>K95*G95+13000</f>
        <v>17590.560000000001</v>
      </c>
      <c r="M95" s="411">
        <f t="shared" ref="M95" si="43">IFERROR(AVERAGE(L95:L96),"")</f>
        <v>17088.6116</v>
      </c>
      <c r="N95" s="411">
        <f>IFERROR(HARMEAN(L95:L96),"")</f>
        <v>17073.867734192754</v>
      </c>
      <c r="O95" s="411">
        <f>IFERROR(MEDIAN(L95:L96),"")</f>
        <v>17088.6116</v>
      </c>
      <c r="P95" s="86">
        <f t="shared" si="31"/>
        <v>17590.560000000001</v>
      </c>
      <c r="Q95" s="413">
        <f>IFERROR(SUM(P95:P96)/COUNTA(K95:K96),"")</f>
        <v>17088.6116</v>
      </c>
      <c r="R95" s="411">
        <f>IFERROR(_xlfn.STDEV.S(L95:L96),"")</f>
        <v>709.86223489147687</v>
      </c>
      <c r="S95" s="415">
        <f>IFERROR(R95/M95,"")</f>
        <v>4.1540076602330694E-2</v>
      </c>
      <c r="T95" s="405" t="s">
        <v>1946</v>
      </c>
      <c r="U95" s="407">
        <f t="shared" si="26"/>
        <v>17088.6116</v>
      </c>
      <c r="V95" s="379"/>
    </row>
    <row r="96" spans="1:22" ht="45" customHeight="1" x14ac:dyDescent="0.3">
      <c r="A96" s="390"/>
      <c r="B96" s="392"/>
      <c r="C96" s="420"/>
      <c r="D96" s="420"/>
      <c r="E96" s="422"/>
      <c r="F96" s="422"/>
      <c r="G96" s="423"/>
      <c r="H96" s="145" t="s">
        <v>73</v>
      </c>
      <c r="I96" s="22">
        <v>0</v>
      </c>
      <c r="J96" s="23">
        <v>0</v>
      </c>
      <c r="K96" s="24">
        <f>6333.33*1.04</f>
        <v>6586.6632</v>
      </c>
      <c r="L96" s="5">
        <f t="shared" si="41"/>
        <v>16586.663199999999</v>
      </c>
      <c r="M96" s="412"/>
      <c r="N96" s="412"/>
      <c r="O96" s="412"/>
      <c r="P96" s="86">
        <f t="shared" si="31"/>
        <v>16586.663199999999</v>
      </c>
      <c r="Q96" s="414"/>
      <c r="R96" s="412"/>
      <c r="S96" s="416"/>
      <c r="T96" s="406"/>
      <c r="U96" s="408">
        <f t="shared" si="26"/>
        <v>0</v>
      </c>
      <c r="V96" s="379"/>
    </row>
    <row r="97" spans="1:22" ht="45" customHeight="1" x14ac:dyDescent="0.3">
      <c r="A97" s="389">
        <v>46</v>
      </c>
      <c r="B97" s="886">
        <f>+'[2]Lote Agroindustria'!B47</f>
        <v>52151648</v>
      </c>
      <c r="C97" s="419" t="str">
        <f>+'[2]Lote Agroindustria'!C47</f>
        <v>Termòmetro de punzòn digital</v>
      </c>
      <c r="D97" s="419" t="str">
        <f>+'[2]Lote Agroindustria'!D47</f>
        <v>Termòmetro de punzòn, Características:* Voltaje de funcionamiento: 1.5V (batería AG13 incluida)* Precisión: 0,0 °C a +80 °C (± 1 ° C o 2 º F)* Rango de medición: -50 º C - + 300 ° C (-58 ° F a 572 ° F)* Visualización seleccionable en °C y °F* Memoria de última medida* Indicador de batería baja*15 minutos de apagado automático para ahorro de energía</v>
      </c>
      <c r="E97" s="421" t="s">
        <v>1698</v>
      </c>
      <c r="F97" s="421" t="s">
        <v>79</v>
      </c>
      <c r="G97" s="391">
        <v>1</v>
      </c>
      <c r="H97" s="143" t="s">
        <v>1942</v>
      </c>
      <c r="I97" s="22">
        <v>0</v>
      </c>
      <c r="J97" s="23">
        <v>0</v>
      </c>
      <c r="K97" s="24">
        <f>158000*1.04</f>
        <v>164320</v>
      </c>
      <c r="L97" s="5">
        <f>K97*G97+10000</f>
        <v>174320</v>
      </c>
      <c r="M97" s="411">
        <f t="shared" ref="M97" si="44">IFERROR(AVERAGE(L97:L98),"")</f>
        <v>172188</v>
      </c>
      <c r="N97" s="411">
        <f>IFERROR(HARMEAN(L97:L98),"")</f>
        <v>172161.60196993983</v>
      </c>
      <c r="O97" s="411">
        <f>IFERROR(MEDIAN(L97:L98),"")</f>
        <v>172188</v>
      </c>
      <c r="P97" s="86">
        <f t="shared" si="31"/>
        <v>174320</v>
      </c>
      <c r="Q97" s="413">
        <f>IFERROR(SUM(P97:P98)/COUNTA(K97:K98),"")</f>
        <v>172188</v>
      </c>
      <c r="R97" s="411">
        <f>IFERROR(_xlfn.STDEV.S(L97:L98),"")</f>
        <v>3015.1033149794384</v>
      </c>
      <c r="S97" s="415">
        <f>IFERROR(R97/M97,"")</f>
        <v>1.751053101830231E-2</v>
      </c>
      <c r="T97" s="405" t="s">
        <v>1951</v>
      </c>
      <c r="U97" s="407">
        <f t="shared" si="26"/>
        <v>172188</v>
      </c>
      <c r="V97" s="379"/>
    </row>
    <row r="98" spans="1:22" ht="63.75" customHeight="1" x14ac:dyDescent="0.3">
      <c r="A98" s="390"/>
      <c r="B98" s="392"/>
      <c r="C98" s="420"/>
      <c r="D98" s="420"/>
      <c r="E98" s="422"/>
      <c r="F98" s="422"/>
      <c r="G98" s="423"/>
      <c r="H98" s="143" t="s">
        <v>1940</v>
      </c>
      <c r="I98" s="22">
        <v>0</v>
      </c>
      <c r="J98" s="23">
        <v>0</v>
      </c>
      <c r="K98" s="24">
        <f>153900*1.04</f>
        <v>160056</v>
      </c>
      <c r="L98" s="5">
        <f t="shared" si="41"/>
        <v>170056</v>
      </c>
      <c r="M98" s="412"/>
      <c r="N98" s="412"/>
      <c r="O98" s="412"/>
      <c r="P98" s="86">
        <f t="shared" si="31"/>
        <v>170056</v>
      </c>
      <c r="Q98" s="414"/>
      <c r="R98" s="412"/>
      <c r="S98" s="416"/>
      <c r="T98" s="406"/>
      <c r="U98" s="408">
        <f t="shared" si="26"/>
        <v>0</v>
      </c>
      <c r="V98" s="379"/>
    </row>
    <row r="99" spans="1:22" ht="45" customHeight="1" x14ac:dyDescent="0.3">
      <c r="A99" s="389">
        <v>47</v>
      </c>
      <c r="B99" s="886">
        <f>+'[2]Lote Agroindustria'!B48</f>
        <v>14121806</v>
      </c>
      <c r="C99" s="419" t="str">
        <f>+'[2]Lote Agroindustria'!C48</f>
        <v>Papel parafinado paquete rollo x 20 metros</v>
      </c>
      <c r="D99" s="419" t="str">
        <f>+'[2]Lote Agroindustria'!D48</f>
        <v>Rollo Papel Parafinado rollo x 20 metross Anti Graso Ecológico</v>
      </c>
      <c r="E99" s="421" t="s">
        <v>1698</v>
      </c>
      <c r="F99" s="421" t="s">
        <v>72</v>
      </c>
      <c r="G99" s="391">
        <v>1</v>
      </c>
      <c r="H99" s="143" t="s">
        <v>1940</v>
      </c>
      <c r="I99" s="22">
        <v>0</v>
      </c>
      <c r="J99" s="23">
        <v>0</v>
      </c>
      <c r="K99" s="24">
        <f>11250*1.04</f>
        <v>11700</v>
      </c>
      <c r="L99" s="5">
        <f>K99*G99+10000</f>
        <v>21700</v>
      </c>
      <c r="M99" s="411">
        <f t="shared" ref="M99" si="45">IFERROR(AVERAGE(L99:L100),"")</f>
        <v>26138</v>
      </c>
      <c r="N99" s="411">
        <f>IFERROR(HARMEAN(L99:L100),"")</f>
        <v>25384.467059453669</v>
      </c>
      <c r="O99" s="411">
        <f>IFERROR(MEDIAN(L99:L100),"")</f>
        <v>26138</v>
      </c>
      <c r="P99" s="86">
        <f t="shared" si="31"/>
        <v>21700</v>
      </c>
      <c r="Q99" s="413">
        <f>IFERROR(SUM(P99:P100)/COUNTA(K99:K100),"")</f>
        <v>26138</v>
      </c>
      <c r="R99" s="411">
        <f>IFERROR(_xlfn.STDEV.S(L99:L100),"")</f>
        <v>6276.279789811796</v>
      </c>
      <c r="S99" s="415">
        <f>IFERROR(R99/M99,"")</f>
        <v>0.24012088873715648</v>
      </c>
      <c r="T99" s="405" t="s">
        <v>1952</v>
      </c>
      <c r="U99" s="407">
        <f t="shared" si="26"/>
        <v>26138</v>
      </c>
      <c r="V99" s="379"/>
    </row>
    <row r="100" spans="1:22" ht="45" customHeight="1" x14ac:dyDescent="0.3">
      <c r="A100" s="390"/>
      <c r="B100" s="392"/>
      <c r="C100" s="420"/>
      <c r="D100" s="420"/>
      <c r="E100" s="422"/>
      <c r="F100" s="422"/>
      <c r="G100" s="423"/>
      <c r="H100" s="145" t="s">
        <v>722</v>
      </c>
      <c r="I100" s="22">
        <v>0</v>
      </c>
      <c r="J100" s="23">
        <v>0</v>
      </c>
      <c r="K100" s="24">
        <f>16900*1.04</f>
        <v>17576</v>
      </c>
      <c r="L100" s="5">
        <f>K100*G99+13000</f>
        <v>30576</v>
      </c>
      <c r="M100" s="412"/>
      <c r="N100" s="412"/>
      <c r="O100" s="412"/>
      <c r="P100" s="86">
        <f t="shared" si="31"/>
        <v>30576</v>
      </c>
      <c r="Q100" s="414"/>
      <c r="R100" s="412"/>
      <c r="S100" s="416"/>
      <c r="T100" s="406"/>
      <c r="U100" s="408">
        <f t="shared" si="26"/>
        <v>0</v>
      </c>
      <c r="V100" s="379"/>
    </row>
    <row r="101" spans="1:22" ht="45" customHeight="1" x14ac:dyDescent="0.3">
      <c r="A101" s="389">
        <v>48</v>
      </c>
      <c r="B101" s="886">
        <f>+'[2]Lote Agroindustria'!B49</f>
        <v>41111500</v>
      </c>
      <c r="C101" s="419" t="str">
        <f>+'[2]Lote Agroindustria'!C49</f>
        <v>Balanza gramera digital</v>
      </c>
      <c r="D101" s="419" t="str">
        <f>+'[2]Lote Agroindustria'!D49</f>
        <v>Balanza gramera digital, con graduación de 1 en 1 gr lo que permite la exactitud. Además incorpora 2 Unidades de peso: gramos y onzas. Funciona con pilas. Capacidad max 5 kilos, minimo 1 gramo</v>
      </c>
      <c r="E101" s="421" t="s">
        <v>1698</v>
      </c>
      <c r="F101" s="421" t="s">
        <v>79</v>
      </c>
      <c r="G101" s="391">
        <v>1</v>
      </c>
      <c r="H101" s="145" t="s">
        <v>722</v>
      </c>
      <c r="I101" s="22">
        <v>0</v>
      </c>
      <c r="J101" s="23">
        <v>0</v>
      </c>
      <c r="K101" s="24">
        <f>62000*1.04</f>
        <v>64480</v>
      </c>
      <c r="L101" s="5">
        <f>K101*G101+10000</f>
        <v>74480</v>
      </c>
      <c r="M101" s="411">
        <f t="shared" ref="M101" si="46">IFERROR(AVERAGE(L101:L102),"")</f>
        <v>73388</v>
      </c>
      <c r="N101" s="411">
        <f>IFERROR(HARMEAN(L101:L102),"")</f>
        <v>73371.751239984733</v>
      </c>
      <c r="O101" s="411">
        <f>IFERROR(MEDIAN(L101:L102),"")</f>
        <v>73388</v>
      </c>
      <c r="P101" s="86">
        <f t="shared" si="31"/>
        <v>74480</v>
      </c>
      <c r="Q101" s="413">
        <f>IFERROR(SUM(P101:P102)/COUNTA(K101:K102),"")</f>
        <v>73388</v>
      </c>
      <c r="R101" s="411">
        <f>IFERROR(_xlfn.STDEV.S(L101:L102),"")</f>
        <v>1544.3212101114198</v>
      </c>
      <c r="S101" s="415">
        <f>IFERROR(R101/M101,"")</f>
        <v>2.1043238814403169E-2</v>
      </c>
      <c r="T101" s="405" t="s">
        <v>1946</v>
      </c>
      <c r="U101" s="407">
        <f t="shared" si="26"/>
        <v>73388</v>
      </c>
      <c r="V101" s="379"/>
    </row>
    <row r="102" spans="1:22" ht="45" customHeight="1" x14ac:dyDescent="0.3">
      <c r="A102" s="390"/>
      <c r="B102" s="392"/>
      <c r="C102" s="420"/>
      <c r="D102" s="420"/>
      <c r="E102" s="422"/>
      <c r="F102" s="422"/>
      <c r="G102" s="423"/>
      <c r="H102" s="145" t="s">
        <v>73</v>
      </c>
      <c r="I102" s="22">
        <v>0</v>
      </c>
      <c r="J102" s="23">
        <v>0</v>
      </c>
      <c r="K102" s="24">
        <f>59900*1.04</f>
        <v>62296</v>
      </c>
      <c r="L102" s="5">
        <f t="shared" si="41"/>
        <v>72296</v>
      </c>
      <c r="M102" s="412"/>
      <c r="N102" s="412"/>
      <c r="O102" s="412"/>
      <c r="P102" s="86">
        <f t="shared" si="31"/>
        <v>72296</v>
      </c>
      <c r="Q102" s="414"/>
      <c r="R102" s="412"/>
      <c r="S102" s="416"/>
      <c r="T102" s="406"/>
      <c r="U102" s="408">
        <f t="shared" si="26"/>
        <v>0</v>
      </c>
      <c r="V102" s="379"/>
    </row>
    <row r="103" spans="1:22" ht="45" customHeight="1" x14ac:dyDescent="0.3">
      <c r="A103" s="389">
        <v>49</v>
      </c>
      <c r="B103" s="886">
        <f>+'[2]Lote Agroindustria'!B50</f>
        <v>52151632</v>
      </c>
      <c r="C103" s="419" t="str">
        <f>+'[2]Lote Agroindustria'!C50</f>
        <v>Manga pastelera
paquete x 100 
unidades</v>
      </c>
      <c r="D103" s="419" t="str">
        <f>+'[2]Lote Agroindustria'!D50</f>
        <v>Manga Pastelera desechable por 45 cm de larga, fabricadas en polietileno de alta densidad resistente para rellenos y decoración en Pastelería.</v>
      </c>
      <c r="E103" s="421" t="s">
        <v>1698</v>
      </c>
      <c r="F103" s="421" t="s">
        <v>290</v>
      </c>
      <c r="G103" s="391">
        <v>1</v>
      </c>
      <c r="H103" s="143" t="s">
        <v>1942</v>
      </c>
      <c r="I103" s="22">
        <v>0</v>
      </c>
      <c r="J103" s="23">
        <v>0</v>
      </c>
      <c r="K103" s="24">
        <f>89900*1.04</f>
        <v>93496</v>
      </c>
      <c r="L103" s="5">
        <f>K103*G103+10000</f>
        <v>103496</v>
      </c>
      <c r="M103" s="411">
        <f t="shared" ref="M103" si="47">IFERROR(AVERAGE(L103:L104),"")</f>
        <v>100818</v>
      </c>
      <c r="N103" s="411">
        <f>IFERROR(HARMEAN(L103:L104),"")</f>
        <v>100746.86504394056</v>
      </c>
      <c r="O103" s="411">
        <f>IFERROR(MEDIAN(L103:L104),"")</f>
        <v>100818</v>
      </c>
      <c r="P103" s="86">
        <f t="shared" si="31"/>
        <v>103496</v>
      </c>
      <c r="Q103" s="413">
        <f>IFERROR(SUM(P103:P104)/COUNTA(K103:K104),"")</f>
        <v>100818</v>
      </c>
      <c r="R103" s="411">
        <f>IFERROR(_xlfn.STDEV.S(L103:L104),"")</f>
        <v>3787.2639200351487</v>
      </c>
      <c r="S103" s="415">
        <f>IFERROR(R103/M103,"")</f>
        <v>3.756535459972573E-2</v>
      </c>
      <c r="T103" s="405" t="s">
        <v>1951</v>
      </c>
      <c r="U103" s="407">
        <f t="shared" si="26"/>
        <v>100818</v>
      </c>
      <c r="V103" s="379"/>
    </row>
    <row r="104" spans="1:22" ht="45" customHeight="1" x14ac:dyDescent="0.3">
      <c r="A104" s="390"/>
      <c r="B104" s="392"/>
      <c r="C104" s="420"/>
      <c r="D104" s="420"/>
      <c r="E104" s="422"/>
      <c r="F104" s="422"/>
      <c r="G104" s="423"/>
      <c r="H104" s="143" t="s">
        <v>1940</v>
      </c>
      <c r="I104" s="22">
        <v>0</v>
      </c>
      <c r="J104" s="23">
        <v>0</v>
      </c>
      <c r="K104" s="24">
        <f>84750*1.04</f>
        <v>88140</v>
      </c>
      <c r="L104" s="5">
        <f t="shared" si="41"/>
        <v>98140</v>
      </c>
      <c r="M104" s="412"/>
      <c r="N104" s="412"/>
      <c r="O104" s="412"/>
      <c r="P104" s="86">
        <f t="shared" si="31"/>
        <v>98140</v>
      </c>
      <c r="Q104" s="414"/>
      <c r="R104" s="412"/>
      <c r="S104" s="416"/>
      <c r="T104" s="406"/>
      <c r="U104" s="408">
        <f t="shared" si="26"/>
        <v>0</v>
      </c>
      <c r="V104" s="379"/>
    </row>
    <row r="105" spans="1:22" ht="45" customHeight="1" x14ac:dyDescent="0.3">
      <c r="A105" s="389">
        <v>50</v>
      </c>
      <c r="B105" s="886">
        <f>+'[2]Lote Agroindustria'!B51</f>
        <v>48101915</v>
      </c>
      <c r="C105" s="419" t="str">
        <f>+'[2]Lote Agroindustria'!C51</f>
        <v xml:space="preserve">Bandeja multiusos en alumnio 38 x 26 cm, </v>
      </c>
      <c r="D105" s="419" t="str">
        <f>+'[2]Lote Agroindustria'!D51</f>
        <v xml:space="preserve">Bandeja medianas fabricadas en aluminio de gran calibre que garantiza un calentamiento uniforme para un perfecto horneado. Superficie antiadherente para una fácil liberación y una limpieza rápida.. Medidas 38 cm x 26 cm, complemento de mesa, accesorio de servir, tipo bandeja, liviana, práctica, fácil de limpiar. </v>
      </c>
      <c r="E105" s="421" t="s">
        <v>1698</v>
      </c>
      <c r="F105" s="421" t="s">
        <v>79</v>
      </c>
      <c r="G105" s="391">
        <v>1</v>
      </c>
      <c r="H105" s="143" t="s">
        <v>1942</v>
      </c>
      <c r="I105" s="22">
        <v>0</v>
      </c>
      <c r="J105" s="23">
        <v>0</v>
      </c>
      <c r="K105" s="24">
        <f>39999*1.04</f>
        <v>41598.959999999999</v>
      </c>
      <c r="L105" s="5">
        <f>K105*G105+10000</f>
        <v>51598.96</v>
      </c>
      <c r="M105" s="411">
        <f t="shared" ref="M105" si="48">IFERROR(AVERAGE(L105:L106),"")</f>
        <v>51079.479999999996</v>
      </c>
      <c r="N105" s="411">
        <f>IFERROR(HARMEAN(L105:L106),"")</f>
        <v>51074.196871228916</v>
      </c>
      <c r="O105" s="411">
        <f>IFERROR(MEDIAN(L105:L106),"")</f>
        <v>51079.479999999996</v>
      </c>
      <c r="P105" s="86">
        <f t="shared" si="31"/>
        <v>51598.96</v>
      </c>
      <c r="Q105" s="413">
        <f>IFERROR(SUM(P105:P106)/COUNTA(K105:K106),"")</f>
        <v>51079.479999999996</v>
      </c>
      <c r="R105" s="411">
        <f>IFERROR(_xlfn.STDEV.S(L105:L106),"")</f>
        <v>734.65566138157476</v>
      </c>
      <c r="S105" s="415">
        <f>IFERROR(R105/M105,"")</f>
        <v>1.4382598675271847E-2</v>
      </c>
      <c r="T105" s="405" t="s">
        <v>1951</v>
      </c>
      <c r="U105" s="407">
        <f t="shared" si="26"/>
        <v>51079.479999999996</v>
      </c>
      <c r="V105" s="379"/>
    </row>
    <row r="106" spans="1:22" ht="45" customHeight="1" x14ac:dyDescent="0.3">
      <c r="A106" s="390"/>
      <c r="B106" s="392"/>
      <c r="C106" s="420"/>
      <c r="D106" s="420"/>
      <c r="E106" s="422"/>
      <c r="F106" s="422"/>
      <c r="G106" s="423"/>
      <c r="H106" s="143" t="s">
        <v>1940</v>
      </c>
      <c r="I106" s="22">
        <v>0</v>
      </c>
      <c r="J106" s="23">
        <v>0</v>
      </c>
      <c r="K106" s="24">
        <f>39000*1.04</f>
        <v>40560</v>
      </c>
      <c r="L106" s="5">
        <f>K106*G105+10000</f>
        <v>50560</v>
      </c>
      <c r="M106" s="412"/>
      <c r="N106" s="412"/>
      <c r="O106" s="412"/>
      <c r="P106" s="86">
        <f t="shared" si="31"/>
        <v>50560</v>
      </c>
      <c r="Q106" s="414"/>
      <c r="R106" s="412"/>
      <c r="S106" s="416"/>
      <c r="T106" s="406"/>
      <c r="U106" s="408">
        <f t="shared" si="26"/>
        <v>0</v>
      </c>
      <c r="V106" s="379"/>
    </row>
    <row r="107" spans="1:22" ht="45" customHeight="1" x14ac:dyDescent="0.3">
      <c r="A107" s="389">
        <v>51</v>
      </c>
      <c r="B107" s="886">
        <f>+'[2]Lote Agroindustria'!B52</f>
        <v>48101800</v>
      </c>
      <c r="C107" s="419" t="str">
        <f>+'[2]Lote Agroindustria'!C52</f>
        <v xml:space="preserve">Batidor de globo en acero </v>
      </c>
      <c r="D107" s="419" t="str">
        <f>+'[2]Lote Agroindustria'!D52</f>
        <v>Batidor piano de mano fabricado en acero inoxidable, de 40 cm de largo, ideal para mezclar huevos, salsas y masas.
Apto para lavaplatos.</v>
      </c>
      <c r="E107" s="421" t="s">
        <v>1698</v>
      </c>
      <c r="F107" s="421" t="s">
        <v>79</v>
      </c>
      <c r="G107" s="391">
        <v>1</v>
      </c>
      <c r="H107" s="143" t="s">
        <v>1942</v>
      </c>
      <c r="I107" s="22">
        <v>0</v>
      </c>
      <c r="J107" s="23">
        <v>0</v>
      </c>
      <c r="K107" s="24">
        <f>49900*1.04</f>
        <v>51896</v>
      </c>
      <c r="L107" s="5">
        <f>K107*G107+10000</f>
        <v>61896</v>
      </c>
      <c r="M107" s="411">
        <f t="shared" ref="M107" si="49">IFERROR(AVERAGE(L107:L108),"")</f>
        <v>61272</v>
      </c>
      <c r="N107" s="411">
        <f>IFERROR(HARMEAN(L107:L108),"")</f>
        <v>61265.64512338426</v>
      </c>
      <c r="O107" s="411">
        <f>IFERROR(MEDIAN(L107:L108),"")</f>
        <v>61272</v>
      </c>
      <c r="P107" s="86">
        <f t="shared" si="31"/>
        <v>61896</v>
      </c>
      <c r="Q107" s="413">
        <f>IFERROR(SUM(P107:P108)/COUNTA(K107:K108),"")</f>
        <v>61272</v>
      </c>
      <c r="R107" s="411">
        <f>IFERROR(_xlfn.STDEV.S(L107:L108),"")</f>
        <v>882.46926292081127</v>
      </c>
      <c r="S107" s="415">
        <f>IFERROR(R107/M107,"")</f>
        <v>1.4402488296788276E-2</v>
      </c>
      <c r="T107" s="405" t="s">
        <v>1951</v>
      </c>
      <c r="U107" s="407">
        <f t="shared" si="26"/>
        <v>61272</v>
      </c>
      <c r="V107" s="379"/>
    </row>
    <row r="108" spans="1:22" ht="45" customHeight="1" x14ac:dyDescent="0.3">
      <c r="A108" s="390"/>
      <c r="B108" s="392"/>
      <c r="C108" s="420"/>
      <c r="D108" s="420"/>
      <c r="E108" s="422"/>
      <c r="F108" s="422"/>
      <c r="G108" s="423"/>
      <c r="H108" s="143" t="s">
        <v>1940</v>
      </c>
      <c r="I108" s="22">
        <v>0</v>
      </c>
      <c r="J108" s="23">
        <v>0</v>
      </c>
      <c r="K108" s="24">
        <f>48700*1.04</f>
        <v>50648</v>
      </c>
      <c r="L108" s="5">
        <f t="shared" si="41"/>
        <v>60648</v>
      </c>
      <c r="M108" s="412"/>
      <c r="N108" s="412"/>
      <c r="O108" s="412"/>
      <c r="P108" s="86">
        <f t="shared" si="31"/>
        <v>60648</v>
      </c>
      <c r="Q108" s="414"/>
      <c r="R108" s="412"/>
      <c r="S108" s="416"/>
      <c r="T108" s="406"/>
      <c r="U108" s="408">
        <f t="shared" si="26"/>
        <v>0</v>
      </c>
      <c r="V108" s="379"/>
    </row>
    <row r="109" spans="1:22" ht="45" customHeight="1" x14ac:dyDescent="0.3">
      <c r="A109" s="389">
        <v>52</v>
      </c>
      <c r="B109" s="886">
        <f>+'[2]Lote Agroindustria'!B53</f>
        <v>52151616</v>
      </c>
      <c r="C109" s="419" t="str">
        <f>+'[2]Lote Agroindustria'!C53</f>
        <v>Espátula o lambona para cremas frías de 35 cm a 40 cm</v>
      </c>
      <c r="D109" s="419" t="str">
        <f>+'[2]Lote Agroindustria'!D53</f>
        <v>Espátula de silicona de 25,4 cm de largo, resistente al calor hasta 316 ° C (600 ° F), su mango es cómodo de usar y lo suficientemente largo como para llegar a los tazones de mezcla profunda. Este raspador de silicona no se doblará ni deformará debido al uso pesado y es perfecto para eliminar la masa pegajosa y la masa para galletas de los tazones para mezclar.</v>
      </c>
      <c r="E109" s="421" t="s">
        <v>1698</v>
      </c>
      <c r="F109" s="421" t="s">
        <v>79</v>
      </c>
      <c r="G109" s="391">
        <v>1</v>
      </c>
      <c r="H109" s="143" t="s">
        <v>1942</v>
      </c>
      <c r="I109" s="22">
        <v>0</v>
      </c>
      <c r="J109" s="23">
        <v>0</v>
      </c>
      <c r="K109" s="24">
        <f>68000*1.04</f>
        <v>70720</v>
      </c>
      <c r="L109" s="5">
        <f>K109*G109+10000</f>
        <v>80720</v>
      </c>
      <c r="M109" s="411">
        <f t="shared" ref="M109" si="50">IFERROR(AVERAGE(L109:L110),"")</f>
        <v>79836</v>
      </c>
      <c r="N109" s="411">
        <f>IFERROR(HARMEAN(L109:L110),"")</f>
        <v>79826.211734054814</v>
      </c>
      <c r="O109" s="411">
        <f>IFERROR(MEDIAN(L109:L110),"")</f>
        <v>79836</v>
      </c>
      <c r="P109" s="86">
        <f t="shared" si="31"/>
        <v>80720</v>
      </c>
      <c r="Q109" s="413">
        <f>IFERROR(SUM(P109:P110)/COUNTA(K109:K110),"")</f>
        <v>79836</v>
      </c>
      <c r="R109" s="411">
        <f>IFERROR(_xlfn.STDEV.S(L109:L110),"")</f>
        <v>1250.1647891378161</v>
      </c>
      <c r="S109" s="415">
        <f>IFERROR(R109/M109,"")</f>
        <v>1.5659161144569066E-2</v>
      </c>
      <c r="T109" s="405" t="s">
        <v>1951</v>
      </c>
      <c r="U109" s="407">
        <f t="shared" si="26"/>
        <v>79836</v>
      </c>
      <c r="V109" s="379"/>
    </row>
    <row r="110" spans="1:22" ht="45" customHeight="1" x14ac:dyDescent="0.3">
      <c r="A110" s="390"/>
      <c r="B110" s="392"/>
      <c r="C110" s="420"/>
      <c r="D110" s="420"/>
      <c r="E110" s="422"/>
      <c r="F110" s="422"/>
      <c r="G110" s="423"/>
      <c r="H110" s="143" t="s">
        <v>1940</v>
      </c>
      <c r="I110" s="22">
        <v>0</v>
      </c>
      <c r="J110" s="23">
        <v>0</v>
      </c>
      <c r="K110" s="24">
        <f>66300*1.04</f>
        <v>68952</v>
      </c>
      <c r="L110" s="5">
        <f t="shared" si="41"/>
        <v>78952</v>
      </c>
      <c r="M110" s="412"/>
      <c r="N110" s="412"/>
      <c r="O110" s="412"/>
      <c r="P110" s="86">
        <f t="shared" si="31"/>
        <v>78952</v>
      </c>
      <c r="Q110" s="414"/>
      <c r="R110" s="412"/>
      <c r="S110" s="416"/>
      <c r="T110" s="406"/>
      <c r="U110" s="408">
        <f t="shared" si="26"/>
        <v>0</v>
      </c>
      <c r="V110" s="379"/>
    </row>
    <row r="111" spans="1:22" ht="45" customHeight="1" x14ac:dyDescent="0.3">
      <c r="A111" s="389">
        <v>53</v>
      </c>
      <c r="B111" s="886">
        <f>+'[2]Lote Agroindustria'!B54</f>
        <v>52151616</v>
      </c>
      <c r="C111" s="419" t="str">
        <f>+'[2]Lote Agroindustria'!C54</f>
        <v>Espátula para repostería largas, plana de 25 cm a 30 cm</v>
      </c>
      <c r="D111" s="419" t="str">
        <f>+'[2]Lote Agroindustria'!D54</f>
        <v>Espátula en acero inoxidable, para decoración. Plana. Medidas de 25 cm a 30 cm de largo Certificacion NSF, libre de high carbon. Por unidad.</v>
      </c>
      <c r="E111" s="421" t="s">
        <v>1698</v>
      </c>
      <c r="F111" s="421" t="s">
        <v>79</v>
      </c>
      <c r="G111" s="391">
        <v>1</v>
      </c>
      <c r="H111" s="143" t="s">
        <v>1942</v>
      </c>
      <c r="I111" s="22">
        <v>0</v>
      </c>
      <c r="J111" s="23">
        <v>0</v>
      </c>
      <c r="K111" s="24">
        <f>44900*1.04</f>
        <v>46696</v>
      </c>
      <c r="L111" s="5">
        <f>K111*G111+10000</f>
        <v>56696</v>
      </c>
      <c r="M111" s="411">
        <f t="shared" ref="M111" si="51">IFERROR(AVERAGE(L111:L112),"")</f>
        <v>41096</v>
      </c>
      <c r="N111" s="411">
        <f t="shared" ref="N111" si="52">IFERROR(HARMEAN(L111:L112),"")</f>
        <v>35174.25579131789</v>
      </c>
      <c r="O111" s="411">
        <f t="shared" ref="O111" si="53">IFERROR(MEDIAN(L111:L112),"")</f>
        <v>41096</v>
      </c>
      <c r="P111" s="86">
        <f t="shared" si="31"/>
        <v>56696</v>
      </c>
      <c r="Q111" s="413">
        <f t="shared" ref="Q111" si="54">IFERROR(SUM(P111:P112)/COUNTA(K111:K112),"")</f>
        <v>41096</v>
      </c>
      <c r="R111" s="411">
        <f t="shared" ref="R111" si="55">IFERROR(_xlfn.STDEV.S(L111:L112),"")</f>
        <v>22061.731573020283</v>
      </c>
      <c r="S111" s="415">
        <f t="shared" ref="S111" si="56">IFERROR(R111/M111,"")</f>
        <v>0.53683403671939567</v>
      </c>
      <c r="T111" s="405" t="s">
        <v>1951</v>
      </c>
      <c r="U111" s="407">
        <f t="shared" si="26"/>
        <v>41096</v>
      </c>
      <c r="V111" s="379"/>
    </row>
    <row r="112" spans="1:22" ht="45" customHeight="1" x14ac:dyDescent="0.3">
      <c r="A112" s="390"/>
      <c r="B112" s="392"/>
      <c r="C112" s="420"/>
      <c r="D112" s="420"/>
      <c r="E112" s="422"/>
      <c r="F112" s="422"/>
      <c r="G112" s="423"/>
      <c r="H112" s="143" t="s">
        <v>1940</v>
      </c>
      <c r="I112" s="22">
        <v>0</v>
      </c>
      <c r="J112" s="23">
        <v>0</v>
      </c>
      <c r="K112" s="24">
        <f>14900*1.04</f>
        <v>15496</v>
      </c>
      <c r="L112" s="5">
        <f>K112*G111+10000</f>
        <v>25496</v>
      </c>
      <c r="M112" s="412"/>
      <c r="N112" s="412"/>
      <c r="O112" s="412"/>
      <c r="P112" s="86">
        <f t="shared" si="31"/>
        <v>25496</v>
      </c>
      <c r="Q112" s="414"/>
      <c r="R112" s="412"/>
      <c r="S112" s="416"/>
      <c r="T112" s="406"/>
      <c r="U112" s="408">
        <f t="shared" si="26"/>
        <v>0</v>
      </c>
      <c r="V112" s="379"/>
    </row>
    <row r="113" spans="1:22" ht="45" customHeight="1" x14ac:dyDescent="0.3">
      <c r="A113" s="389">
        <v>54</v>
      </c>
      <c r="B113" s="886">
        <f>+'[2]Lote Agroindustria'!B55</f>
        <v>52151616</v>
      </c>
      <c r="C113" s="419" t="str">
        <f>+'[2]Lote Agroindustria'!C55</f>
        <v>Espátula triangular en acero inoxidable, plana de 15 cm a 30 cm</v>
      </c>
      <c r="D113" s="419" t="str">
        <f>+'[2]Lote Agroindustria'!D55</f>
        <v>Espátula con hoja de acero inoxidable y mango de 13 cm de polipropileno para un agarre cómodo y fácil mantenimiento, ideal para la nivelación de pasteles y moldes pequeños, así como la herramienta perfecta para templar el chocolate.</v>
      </c>
      <c r="E113" s="421" t="s">
        <v>1698</v>
      </c>
      <c r="F113" s="421" t="s">
        <v>79</v>
      </c>
      <c r="G113" s="391">
        <v>1</v>
      </c>
      <c r="H113" s="143" t="s">
        <v>1942</v>
      </c>
      <c r="I113" s="22">
        <v>0</v>
      </c>
      <c r="J113" s="23">
        <v>0</v>
      </c>
      <c r="K113" s="24">
        <f>55900*1.04</f>
        <v>58136</v>
      </c>
      <c r="L113" s="5">
        <f>K113*G113+10000</f>
        <v>68136</v>
      </c>
      <c r="M113" s="411">
        <f t="shared" ref="M113" si="57">IFERROR(AVERAGE(L113:L114),"")</f>
        <v>56176</v>
      </c>
      <c r="N113" s="411">
        <f t="shared" ref="N113" si="58">IFERROR(HARMEAN(L113:L114),"")</f>
        <v>53629.688407861002</v>
      </c>
      <c r="O113" s="411">
        <f t="shared" ref="O113" si="59">IFERROR(MEDIAN(L113:L114),"")</f>
        <v>56176</v>
      </c>
      <c r="P113" s="86">
        <f t="shared" si="31"/>
        <v>68136</v>
      </c>
      <c r="Q113" s="413">
        <f t="shared" ref="Q113" si="60">IFERROR(SUM(P113:P114)/COUNTA(K113:K114),"")</f>
        <v>56176</v>
      </c>
      <c r="R113" s="411">
        <f t="shared" ref="R113" si="61">IFERROR(_xlfn.STDEV.S(L113:L114),"")</f>
        <v>16913.994205982217</v>
      </c>
      <c r="S113" s="415">
        <f t="shared" ref="S113" si="62">IFERROR(R113/M113,"")</f>
        <v>0.30108933006946415</v>
      </c>
      <c r="T113" s="405" t="s">
        <v>1953</v>
      </c>
      <c r="U113" s="407">
        <f t="shared" si="26"/>
        <v>56176</v>
      </c>
      <c r="V113" s="379"/>
    </row>
    <row r="114" spans="1:22" ht="45" customHeight="1" x14ac:dyDescent="0.3">
      <c r="A114" s="390"/>
      <c r="B114" s="392"/>
      <c r="C114" s="420"/>
      <c r="D114" s="420"/>
      <c r="E114" s="422"/>
      <c r="F114" s="422"/>
      <c r="G114" s="423"/>
      <c r="H114" s="145" t="s">
        <v>73</v>
      </c>
      <c r="I114" s="22">
        <v>0</v>
      </c>
      <c r="J114" s="23">
        <v>0</v>
      </c>
      <c r="K114" s="24">
        <f>32900*1.04</f>
        <v>34216</v>
      </c>
      <c r="L114" s="5">
        <f>K114*G113+10000</f>
        <v>44216</v>
      </c>
      <c r="M114" s="412"/>
      <c r="N114" s="412"/>
      <c r="O114" s="412"/>
      <c r="P114" s="86">
        <f t="shared" si="31"/>
        <v>44216</v>
      </c>
      <c r="Q114" s="414"/>
      <c r="R114" s="412"/>
      <c r="S114" s="416"/>
      <c r="T114" s="406"/>
      <c r="U114" s="408">
        <f t="shared" si="26"/>
        <v>0</v>
      </c>
      <c r="V114" s="379"/>
    </row>
    <row r="115" spans="1:22" ht="45" customHeight="1" x14ac:dyDescent="0.3">
      <c r="A115" s="389">
        <v>55</v>
      </c>
      <c r="B115" s="886">
        <f>+'[2]Lote Agroindustria'!B56</f>
        <v>48101907</v>
      </c>
      <c r="C115" s="419" t="str">
        <f>+'[2]Lote Agroindustria'!C56</f>
        <v xml:space="preserve">Jarra plástica </v>
      </c>
      <c r="D115" s="419" t="str">
        <f>+'[2]Lote Agroindustria'!D56</f>
        <v>Redonda, graduada, con tapa, medidas L:21,0 x A: 
15,0x Al: 22,0 (aproximadamente), plástico libre de 
BPA, capacidad de 2L.</v>
      </c>
      <c r="E115" s="421" t="s">
        <v>1698</v>
      </c>
      <c r="F115" s="421" t="s">
        <v>79</v>
      </c>
      <c r="G115" s="391">
        <v>1</v>
      </c>
      <c r="H115" s="145" t="s">
        <v>722</v>
      </c>
      <c r="I115" s="22">
        <v>0</v>
      </c>
      <c r="J115" s="23">
        <v>0</v>
      </c>
      <c r="K115" s="24">
        <f>27900*1.04</f>
        <v>29016</v>
      </c>
      <c r="L115" s="5">
        <f>K115*G115+10000</f>
        <v>39016</v>
      </c>
      <c r="M115" s="411">
        <f t="shared" ref="M115" si="63">IFERROR(AVERAGE(L115:L116),"")</f>
        <v>34856</v>
      </c>
      <c r="N115" s="411">
        <f t="shared" ref="N115" si="64">IFERROR(HARMEAN(L115:L116),"")</f>
        <v>34359.511590543952</v>
      </c>
      <c r="O115" s="411">
        <f t="shared" ref="O115" si="65">IFERROR(MEDIAN(L115:L116),"")</f>
        <v>34856</v>
      </c>
      <c r="P115" s="86">
        <f t="shared" si="31"/>
        <v>39016</v>
      </c>
      <c r="Q115" s="413">
        <f t="shared" ref="Q115" si="66">IFERROR(SUM(P115:P116)/COUNTA(K115:K116),"")</f>
        <v>34856</v>
      </c>
      <c r="R115" s="411">
        <f t="shared" ref="R115" si="67">IFERROR(_xlfn.STDEV.S(L115:L116),"")</f>
        <v>5883.1284194720756</v>
      </c>
      <c r="S115" s="415">
        <f t="shared" ref="S115" si="68">IFERROR(R115/M115,"")</f>
        <v>0.16878380822446853</v>
      </c>
      <c r="T115" s="405" t="s">
        <v>1946</v>
      </c>
      <c r="U115" s="407">
        <f t="shared" si="26"/>
        <v>34856</v>
      </c>
      <c r="V115" s="379"/>
    </row>
    <row r="116" spans="1:22" ht="45" customHeight="1" x14ac:dyDescent="0.3">
      <c r="A116" s="390"/>
      <c r="B116" s="392"/>
      <c r="C116" s="420"/>
      <c r="D116" s="420"/>
      <c r="E116" s="422"/>
      <c r="F116" s="422"/>
      <c r="G116" s="423"/>
      <c r="H116" s="145" t="s">
        <v>73</v>
      </c>
      <c r="I116" s="22">
        <v>0</v>
      </c>
      <c r="J116" s="23">
        <v>0</v>
      </c>
      <c r="K116" s="24">
        <f>19900*1.04</f>
        <v>20696</v>
      </c>
      <c r="L116" s="5">
        <f t="shared" si="41"/>
        <v>30696</v>
      </c>
      <c r="M116" s="412"/>
      <c r="N116" s="412"/>
      <c r="O116" s="412"/>
      <c r="P116" s="86">
        <f t="shared" si="31"/>
        <v>30696</v>
      </c>
      <c r="Q116" s="414"/>
      <c r="R116" s="412"/>
      <c r="S116" s="416"/>
      <c r="T116" s="406"/>
      <c r="U116" s="408">
        <f t="shared" si="26"/>
        <v>0</v>
      </c>
      <c r="V116" s="379"/>
    </row>
    <row r="117" spans="1:22" ht="45" customHeight="1" x14ac:dyDescent="0.3">
      <c r="A117" s="389">
        <v>56</v>
      </c>
      <c r="B117" s="886">
        <f>+'[2]Lote Agroindustria'!B57</f>
        <v>48101907</v>
      </c>
      <c r="C117" s="419" t="str">
        <f>+'[2]Lote Agroindustria'!C57</f>
        <v xml:space="preserve">Jarra plástica </v>
      </c>
      <c r="D117" s="419" t="str">
        <f>+'[2]Lote Agroindustria'!D57</f>
        <v xml:space="preserve">Graduada, con tapa, diámetro 11,3 aproximadamente, 
plástico libre de BPA, capacidad de 1L. </v>
      </c>
      <c r="E117" s="421" t="s">
        <v>1698</v>
      </c>
      <c r="F117" s="421" t="s">
        <v>79</v>
      </c>
      <c r="G117" s="391">
        <v>1</v>
      </c>
      <c r="H117" s="145" t="s">
        <v>722</v>
      </c>
      <c r="I117" s="22">
        <v>0</v>
      </c>
      <c r="J117" s="23">
        <v>0</v>
      </c>
      <c r="K117" s="24">
        <f>15000*1.04</f>
        <v>15600</v>
      </c>
      <c r="L117" s="5">
        <f>K117*G117+13000</f>
        <v>28600</v>
      </c>
      <c r="M117" s="411">
        <f t="shared" ref="M117" si="69">IFERROR(AVERAGE(L117:L118),"")</f>
        <v>27048</v>
      </c>
      <c r="N117" s="411">
        <f t="shared" ref="N117" si="70">IFERROR(HARMEAN(L117:L118),"")</f>
        <v>26958.9470570837</v>
      </c>
      <c r="O117" s="411">
        <f t="shared" ref="O117" si="71">IFERROR(MEDIAN(L117:L118),"")</f>
        <v>27048</v>
      </c>
      <c r="P117" s="86">
        <f t="shared" si="31"/>
        <v>28600</v>
      </c>
      <c r="Q117" s="413">
        <f t="shared" ref="Q117" si="72">IFERROR(SUM(P117:P118)/COUNTA(K117:K118),"")</f>
        <v>27048</v>
      </c>
      <c r="R117" s="411">
        <f t="shared" ref="R117" si="73">IFERROR(_xlfn.STDEV.S(L117:L118),"")</f>
        <v>2194.8594488030435</v>
      </c>
      <c r="S117" s="415">
        <f t="shared" ref="S117" si="74">IFERROR(R117/M117,"")</f>
        <v>8.1146829665891873E-2</v>
      </c>
      <c r="T117" s="405" t="s">
        <v>1946</v>
      </c>
      <c r="U117" s="407">
        <f t="shared" si="26"/>
        <v>27048</v>
      </c>
      <c r="V117" s="379"/>
    </row>
    <row r="118" spans="1:22" ht="45" customHeight="1" x14ac:dyDescent="0.3">
      <c r="A118" s="390"/>
      <c r="B118" s="392"/>
      <c r="C118" s="420"/>
      <c r="D118" s="420"/>
      <c r="E118" s="422"/>
      <c r="F118" s="422"/>
      <c r="G118" s="423"/>
      <c r="H118" s="145" t="s">
        <v>73</v>
      </c>
      <c r="I118" s="22">
        <v>0</v>
      </c>
      <c r="J118" s="23">
        <v>0</v>
      </c>
      <c r="K118" s="24">
        <f>14900*1.04</f>
        <v>15496</v>
      </c>
      <c r="L118" s="5">
        <f>K118*G117+10000</f>
        <v>25496</v>
      </c>
      <c r="M118" s="412"/>
      <c r="N118" s="412"/>
      <c r="O118" s="412"/>
      <c r="P118" s="86">
        <f t="shared" si="31"/>
        <v>25496</v>
      </c>
      <c r="Q118" s="414"/>
      <c r="R118" s="412"/>
      <c r="S118" s="416"/>
      <c r="T118" s="406"/>
      <c r="U118" s="408">
        <f t="shared" si="26"/>
        <v>0</v>
      </c>
      <c r="V118" s="379"/>
    </row>
    <row r="119" spans="1:22" ht="45" customHeight="1" x14ac:dyDescent="0.3">
      <c r="A119" s="389">
        <v>57</v>
      </c>
      <c r="B119" s="886">
        <f>+'[2]Lote Agroindustria'!B58</f>
        <v>52151604</v>
      </c>
      <c r="C119" s="419" t="str">
        <f>+'[2]Lote Agroindustria'!C58</f>
        <v>Escurridor- Colador en malla en acero inoxidable</v>
      </c>
      <c r="D119" s="419" t="str">
        <f>+'[2]Lote Agroindustria'!D58</f>
        <v>ESCURRIDORES -COLADOR EN ACERO INOXIDABLE, rígido, colador para  escurrido de pulpa de frutas, redondo, minimo 25 cm de  diámetro.</v>
      </c>
      <c r="E119" s="421" t="s">
        <v>1698</v>
      </c>
      <c r="F119" s="421" t="s">
        <v>79</v>
      </c>
      <c r="G119" s="391">
        <v>1</v>
      </c>
      <c r="H119" s="145" t="s">
        <v>722</v>
      </c>
      <c r="I119" s="22">
        <v>0</v>
      </c>
      <c r="J119" s="23">
        <v>0</v>
      </c>
      <c r="K119" s="24">
        <f>26500*1.04</f>
        <v>27560</v>
      </c>
      <c r="L119" s="5">
        <f>K119*G119+10000</f>
        <v>37560</v>
      </c>
      <c r="M119" s="411">
        <f t="shared" ref="M119" si="75">IFERROR(AVERAGE(L119:L120),"")</f>
        <v>44528</v>
      </c>
      <c r="N119" s="411">
        <f t="shared" ref="N119" si="76">IFERROR(HARMEAN(L119:L120),"")</f>
        <v>43437.60689902983</v>
      </c>
      <c r="O119" s="411">
        <f t="shared" ref="O119" si="77">IFERROR(MEDIAN(L119:L120),"")</f>
        <v>44528</v>
      </c>
      <c r="P119" s="86">
        <f t="shared" si="31"/>
        <v>37560</v>
      </c>
      <c r="Q119" s="413">
        <f t="shared" ref="Q119" si="78">IFERROR(SUM(P119:P120)/COUNTA(K119:K120),"")</f>
        <v>44528</v>
      </c>
      <c r="R119" s="411">
        <f t="shared" ref="R119" si="79">IFERROR(_xlfn.STDEV.S(L119:L120),"")</f>
        <v>9854.2401026157258</v>
      </c>
      <c r="S119" s="415">
        <f t="shared" ref="S119" si="80">IFERROR(R119/M119,"")</f>
        <v>0.22130435013060828</v>
      </c>
      <c r="T119" s="405" t="s">
        <v>1946</v>
      </c>
      <c r="U119" s="407">
        <f t="shared" si="26"/>
        <v>44528</v>
      </c>
      <c r="V119" s="379"/>
    </row>
    <row r="120" spans="1:22" ht="45" customHeight="1" x14ac:dyDescent="0.3">
      <c r="A120" s="390"/>
      <c r="B120" s="392"/>
      <c r="C120" s="420"/>
      <c r="D120" s="420"/>
      <c r="E120" s="422"/>
      <c r="F120" s="422"/>
      <c r="G120" s="423"/>
      <c r="H120" s="145" t="s">
        <v>73</v>
      </c>
      <c r="I120" s="22">
        <v>0</v>
      </c>
      <c r="J120" s="23">
        <v>0</v>
      </c>
      <c r="K120" s="24">
        <f>39900*1.04</f>
        <v>41496</v>
      </c>
      <c r="L120" s="5">
        <f>K120*G119+10000</f>
        <v>51496</v>
      </c>
      <c r="M120" s="412"/>
      <c r="N120" s="412"/>
      <c r="O120" s="412"/>
      <c r="P120" s="86">
        <f t="shared" si="31"/>
        <v>51496</v>
      </c>
      <c r="Q120" s="414"/>
      <c r="R120" s="412"/>
      <c r="S120" s="416"/>
      <c r="T120" s="406"/>
      <c r="U120" s="408">
        <f t="shared" si="26"/>
        <v>0</v>
      </c>
      <c r="V120" s="379"/>
    </row>
    <row r="121" spans="1:22" ht="45" customHeight="1" x14ac:dyDescent="0.3">
      <c r="A121" s="389">
        <v>58</v>
      </c>
      <c r="B121" s="886">
        <f>+'[2]Lote Agroindustria'!B59</f>
        <v>48101608</v>
      </c>
      <c r="C121" s="419" t="str">
        <f>+'[2]Lote Agroindustria'!C59</f>
        <v xml:space="preserve">Licuadora de 
inmersión de 
mano 110 V - 120 
V 500 W, con 
varilla removible 
en acero 
inoxidable </v>
      </c>
      <c r="D121" s="419" t="str">
        <f>+'[2]Lote Agroindustria'!D59</f>
        <v>Licuadora de mano de inmersión GE, minimo 500 vatios de alto rendimiento, Vaso medidor de 800 ml, Picador de 500 ml, Accesorio batidor, 3 en 1 con accesorios para mezclar y picar, batir y picar, inmersión de doble velocidad para una fácil operación con una sola mano, acero inoxidable.</v>
      </c>
      <c r="E121" s="421" t="s">
        <v>1698</v>
      </c>
      <c r="F121" s="421" t="s">
        <v>79</v>
      </c>
      <c r="G121" s="391">
        <v>1</v>
      </c>
      <c r="H121" s="145" t="s">
        <v>722</v>
      </c>
      <c r="I121" s="22">
        <v>0</v>
      </c>
      <c r="J121" s="23">
        <v>0</v>
      </c>
      <c r="K121" s="24">
        <f>236796*1.04</f>
        <v>246267.84</v>
      </c>
      <c r="L121" s="5">
        <f>K121*G121+10000</f>
        <v>256267.84</v>
      </c>
      <c r="M121" s="411">
        <f t="shared" ref="M121" si="81">IFERROR(AVERAGE(L121:L122),"")</f>
        <v>341081.92</v>
      </c>
      <c r="N121" s="411">
        <f t="shared" ref="N121" si="82">IFERROR(HARMEAN(L121:L122),"")</f>
        <v>319991.88929345773</v>
      </c>
      <c r="O121" s="411">
        <f t="shared" ref="O121" si="83">IFERROR(MEDIAN(L121:L122),"")</f>
        <v>341081.92</v>
      </c>
      <c r="P121" s="86">
        <f t="shared" si="31"/>
        <v>256267.84</v>
      </c>
      <c r="Q121" s="413">
        <f t="shared" ref="Q121" si="84">IFERROR(SUM(P121:P122)/COUNTA(K121:K122),"")</f>
        <v>341081.92</v>
      </c>
      <c r="R121" s="411">
        <f t="shared" ref="R121" si="85">IFERROR(_xlfn.STDEV.S(L121:L122),"")</f>
        <v>119945.22221619679</v>
      </c>
      <c r="S121" s="415">
        <f t="shared" ref="S121" si="86">IFERROR(R121/M121,"")</f>
        <v>0.35166103854521752</v>
      </c>
      <c r="T121" s="405" t="s">
        <v>1946</v>
      </c>
      <c r="U121" s="407">
        <f t="shared" si="26"/>
        <v>341081.92</v>
      </c>
      <c r="V121" s="379"/>
    </row>
    <row r="122" spans="1:22" ht="45" customHeight="1" x14ac:dyDescent="0.3">
      <c r="A122" s="390"/>
      <c r="B122" s="392"/>
      <c r="C122" s="420"/>
      <c r="D122" s="420"/>
      <c r="E122" s="422"/>
      <c r="F122" s="422"/>
      <c r="G122" s="423"/>
      <c r="H122" s="145" t="s">
        <v>73</v>
      </c>
      <c r="I122" s="22">
        <v>0</v>
      </c>
      <c r="J122" s="23">
        <v>0</v>
      </c>
      <c r="K122" s="24">
        <f>399900*1.04</f>
        <v>415896</v>
      </c>
      <c r="L122" s="5">
        <f t="shared" si="41"/>
        <v>425896</v>
      </c>
      <c r="M122" s="412"/>
      <c r="N122" s="412"/>
      <c r="O122" s="412"/>
      <c r="P122" s="86">
        <f t="shared" si="31"/>
        <v>425896</v>
      </c>
      <c r="Q122" s="414"/>
      <c r="R122" s="412"/>
      <c r="S122" s="416"/>
      <c r="T122" s="406"/>
      <c r="U122" s="408">
        <f t="shared" si="26"/>
        <v>0</v>
      </c>
      <c r="V122" s="379"/>
    </row>
    <row r="123" spans="1:22" ht="45" customHeight="1" x14ac:dyDescent="0.3">
      <c r="A123" s="389">
        <v>59</v>
      </c>
      <c r="B123" s="886">
        <f>+'[2]Lote Agroindustria'!B60</f>
        <v>52151807</v>
      </c>
      <c r="C123" s="419" t="str">
        <f>+'[2]Lote Agroindustria'!C60</f>
        <v>Olla en acero 
inoxidable o ceramica con  tapa. 
Capacidad 
mínima entre 4.5 -5 Litros</v>
      </c>
      <c r="D123" s="419" t="str">
        <f>+'[2]Lote Agroindustria'!D60</f>
        <v>Acero inoxidable, Unidad, N.A., Con tapa en acero 
inoxidable,</v>
      </c>
      <c r="E123" s="421" t="s">
        <v>1698</v>
      </c>
      <c r="F123" s="421" t="s">
        <v>79</v>
      </c>
      <c r="G123" s="391">
        <v>1</v>
      </c>
      <c r="H123" s="145" t="s">
        <v>722</v>
      </c>
      <c r="I123" s="22">
        <v>0</v>
      </c>
      <c r="J123" s="23">
        <v>0</v>
      </c>
      <c r="K123" s="24">
        <f>215533*1.04</f>
        <v>224154.32</v>
      </c>
      <c r="L123" s="5">
        <f>K123*G123+10000</f>
        <v>234154.32</v>
      </c>
      <c r="M123" s="411">
        <f t="shared" ref="M123" si="87">IFERROR(AVERAGE(L123:L124),"")</f>
        <v>226025.16</v>
      </c>
      <c r="N123" s="411">
        <f t="shared" ref="N123" si="88">IFERROR(HARMEAN(L123:L124),"")</f>
        <v>225732.788821917</v>
      </c>
      <c r="O123" s="411">
        <f t="shared" ref="O123" si="89">IFERROR(MEDIAN(L123:L124),"")</f>
        <v>226025.16</v>
      </c>
      <c r="P123" s="86">
        <f t="shared" si="31"/>
        <v>234154.32</v>
      </c>
      <c r="Q123" s="413">
        <f t="shared" ref="Q123" si="90">IFERROR(SUM(P123:P124)/COUNTA(K123:K124),"")</f>
        <v>226025.16</v>
      </c>
      <c r="R123" s="411">
        <f t="shared" ref="R123" si="91">IFERROR(_xlfn.STDEV.S(L123:L124),"")</f>
        <v>11496.368322700873</v>
      </c>
      <c r="S123" s="415">
        <f t="shared" ref="S123" si="92">IFERROR(R123/M123,"")</f>
        <v>5.0863223911448055E-2</v>
      </c>
      <c r="T123" s="405" t="s">
        <v>1946</v>
      </c>
      <c r="U123" s="407">
        <f t="shared" si="26"/>
        <v>226025.16</v>
      </c>
      <c r="V123" s="379"/>
    </row>
    <row r="124" spans="1:22" ht="45" customHeight="1" x14ac:dyDescent="0.3">
      <c r="A124" s="390"/>
      <c r="B124" s="392"/>
      <c r="C124" s="420"/>
      <c r="D124" s="420"/>
      <c r="E124" s="422"/>
      <c r="F124" s="422"/>
      <c r="G124" s="423"/>
      <c r="H124" s="145" t="s">
        <v>73</v>
      </c>
      <c r="I124" s="22">
        <v>0</v>
      </c>
      <c r="J124" s="23">
        <v>0</v>
      </c>
      <c r="K124" s="24">
        <f>199900*1.04</f>
        <v>207896</v>
      </c>
      <c r="L124" s="5">
        <f>K124*G123+10000</f>
        <v>217896</v>
      </c>
      <c r="M124" s="412"/>
      <c r="N124" s="412"/>
      <c r="O124" s="412"/>
      <c r="P124" s="86">
        <f t="shared" si="31"/>
        <v>217896</v>
      </c>
      <c r="Q124" s="414"/>
      <c r="R124" s="412"/>
      <c r="S124" s="416"/>
      <c r="T124" s="406"/>
      <c r="U124" s="408">
        <f t="shared" si="26"/>
        <v>0</v>
      </c>
      <c r="V124" s="379"/>
    </row>
    <row r="125" spans="1:22" ht="45" customHeight="1" x14ac:dyDescent="0.3">
      <c r="A125" s="389">
        <v>60</v>
      </c>
      <c r="B125" s="886">
        <f>+'[2]Lote Agroindustria'!B61</f>
        <v>48102109</v>
      </c>
      <c r="C125" s="419" t="str">
        <f>+'[2]Lote Agroindustria'!C61</f>
        <v>Película extensible auto adherente.
Rollo x 300 metros</v>
      </c>
      <c r="D125" s="419" t="str">
        <f>+'[2]Lote Agroindustria'!D61</f>
        <v>Película extensible auto adherente plástica, 30 cm de ancho, con sierra metálica, grado alimenticio, material plástico ideal para proteger y evitar rayones, color transparente. Rollo x 300 metros</v>
      </c>
      <c r="E125" s="421" t="s">
        <v>1698</v>
      </c>
      <c r="F125" s="421" t="s">
        <v>72</v>
      </c>
      <c r="G125" s="391">
        <v>1</v>
      </c>
      <c r="H125" s="143" t="s">
        <v>1940</v>
      </c>
      <c r="I125" s="22">
        <v>0</v>
      </c>
      <c r="J125" s="23">
        <v>0</v>
      </c>
      <c r="K125" s="24">
        <f>36150*1.04</f>
        <v>37596</v>
      </c>
      <c r="L125" s="5">
        <f>K125*G125+10000</f>
        <v>47596</v>
      </c>
      <c r="M125" s="411">
        <f t="shared" ref="M125" si="93">IFERROR(AVERAGE(L125:L126),"")</f>
        <v>37587.880000000005</v>
      </c>
      <c r="N125" s="411">
        <f t="shared" ref="N125" si="94">IFERROR(HARMEAN(L125:L126),"")</f>
        <v>34923.125671360031</v>
      </c>
      <c r="O125" s="411">
        <f t="shared" ref="O125" si="95">IFERROR(MEDIAN(L125:L126),"")</f>
        <v>37587.880000000005</v>
      </c>
      <c r="P125" s="86">
        <f t="shared" si="31"/>
        <v>47596</v>
      </c>
      <c r="Q125" s="413">
        <f t="shared" ref="Q125" si="96">IFERROR(SUM(P125:P126)/COUNTA(K125:K126),"")</f>
        <v>37587.880000000005</v>
      </c>
      <c r="R125" s="411">
        <f t="shared" ref="R125" si="97">IFERROR(_xlfn.STDEV.S(L125:L126),"")</f>
        <v>14153.619037857408</v>
      </c>
      <c r="S125" s="415">
        <f t="shared" ref="S125" si="98">IFERROR(R125/M125,"")</f>
        <v>0.37654741469477415</v>
      </c>
      <c r="T125" s="405" t="s">
        <v>1954</v>
      </c>
      <c r="U125" s="407">
        <f t="shared" si="26"/>
        <v>37587.880000000005</v>
      </c>
      <c r="V125" s="379"/>
    </row>
    <row r="126" spans="1:22" ht="45" customHeight="1" x14ac:dyDescent="0.3">
      <c r="A126" s="390"/>
      <c r="B126" s="392"/>
      <c r="C126" s="420"/>
      <c r="D126" s="420"/>
      <c r="E126" s="422"/>
      <c r="F126" s="422"/>
      <c r="G126" s="423"/>
      <c r="H126" s="145" t="s">
        <v>722</v>
      </c>
      <c r="I126" s="22">
        <v>0</v>
      </c>
      <c r="J126" s="23">
        <v>0</v>
      </c>
      <c r="K126" s="24">
        <f>14019*1.04</f>
        <v>14579.76</v>
      </c>
      <c r="L126" s="5">
        <f>K126*G125+13000</f>
        <v>27579.760000000002</v>
      </c>
      <c r="M126" s="412"/>
      <c r="N126" s="412"/>
      <c r="O126" s="412"/>
      <c r="P126" s="86">
        <f t="shared" si="31"/>
        <v>27579.760000000002</v>
      </c>
      <c r="Q126" s="414"/>
      <c r="R126" s="412"/>
      <c r="S126" s="416"/>
      <c r="T126" s="406"/>
      <c r="U126" s="408">
        <f t="shared" si="26"/>
        <v>0</v>
      </c>
      <c r="V126" s="379"/>
    </row>
    <row r="127" spans="1:22" ht="45" customHeight="1" x14ac:dyDescent="0.3">
      <c r="A127" s="389">
        <v>61</v>
      </c>
      <c r="B127" s="886">
        <f>+'[2]Lote Agroindustria'!B62</f>
        <v>48101510</v>
      </c>
      <c r="C127" s="419" t="str">
        <f>+'[2]Lote Agroindustria'!C62</f>
        <v>Caldero con antiadherente con tapa, de 2 a 2,5 litros ó 24 cm</v>
      </c>
      <c r="D127" s="419" t="str">
        <f>+'[2]Lote Agroindustria'!D62</f>
        <v>Caldero en alumnio fundido que realza el sabor de las comidas, tapa que permite ver su contenido, 2 pequeñas orejas para su fácil manipulación, pequeño orificio sobre la tapa que permite la salida del vapor, una base antideslizante y en su interior una base antiadherente. Capacidad de 2 a 2,5 L ó 24 cm</v>
      </c>
      <c r="E127" s="421" t="s">
        <v>1698</v>
      </c>
      <c r="F127" s="421" t="s">
        <v>79</v>
      </c>
      <c r="G127" s="391">
        <v>1</v>
      </c>
      <c r="H127" s="145" t="s">
        <v>722</v>
      </c>
      <c r="I127" s="22">
        <v>0</v>
      </c>
      <c r="J127" s="23">
        <v>0</v>
      </c>
      <c r="K127" s="24">
        <f>155700*1.04</f>
        <v>161928</v>
      </c>
      <c r="L127" s="5">
        <f>K127*G127+10000</f>
        <v>171928</v>
      </c>
      <c r="M127" s="411">
        <f t="shared" ref="M127" si="99">IFERROR(AVERAGE(L127:L128),"")</f>
        <v>168912</v>
      </c>
      <c r="N127" s="411">
        <f t="shared" ref="N127" si="100">IFERROR(HARMEAN(L127:L128),"")</f>
        <v>168858.1479587004</v>
      </c>
      <c r="O127" s="411">
        <f t="shared" ref="O127" si="101">IFERROR(MEDIAN(L127:L128),"")</f>
        <v>168912</v>
      </c>
      <c r="P127" s="86">
        <f t="shared" si="31"/>
        <v>171928</v>
      </c>
      <c r="Q127" s="413">
        <f t="shared" ref="Q127" si="102">IFERROR(SUM(P127:P128)/COUNTA(K127:K128),"")</f>
        <v>168912</v>
      </c>
      <c r="R127" s="411">
        <f t="shared" ref="R127" si="103">IFERROR(_xlfn.STDEV.S(L127:L128),"")</f>
        <v>4265.2681041172546</v>
      </c>
      <c r="S127" s="415">
        <f t="shared" ref="S127" si="104">IFERROR(R127/M127,"")</f>
        <v>2.5251421474597746E-2</v>
      </c>
      <c r="T127" s="405" t="s">
        <v>1946</v>
      </c>
      <c r="U127" s="407">
        <f t="shared" ref="U127:U152" si="105">M127</f>
        <v>168912</v>
      </c>
      <c r="V127" s="379"/>
    </row>
    <row r="128" spans="1:22" ht="45" customHeight="1" x14ac:dyDescent="0.3">
      <c r="A128" s="390"/>
      <c r="B128" s="392"/>
      <c r="C128" s="420"/>
      <c r="D128" s="420"/>
      <c r="E128" s="422"/>
      <c r="F128" s="422"/>
      <c r="G128" s="423"/>
      <c r="H128" s="145" t="s">
        <v>73</v>
      </c>
      <c r="I128" s="22">
        <v>0</v>
      </c>
      <c r="J128" s="23">
        <v>0</v>
      </c>
      <c r="K128" s="24">
        <f>149900*1.04</f>
        <v>155896</v>
      </c>
      <c r="L128" s="5">
        <f>K128*G127+10000</f>
        <v>165896</v>
      </c>
      <c r="M128" s="412"/>
      <c r="N128" s="412"/>
      <c r="O128" s="412"/>
      <c r="P128" s="86">
        <f t="shared" si="31"/>
        <v>165896</v>
      </c>
      <c r="Q128" s="414"/>
      <c r="R128" s="412"/>
      <c r="S128" s="416"/>
      <c r="T128" s="406"/>
      <c r="U128" s="408">
        <f t="shared" si="105"/>
        <v>0</v>
      </c>
      <c r="V128" s="379"/>
    </row>
    <row r="129" spans="1:22" ht="45" customHeight="1" x14ac:dyDescent="0.3">
      <c r="A129" s="389">
        <v>62</v>
      </c>
      <c r="B129" s="886">
        <f>+'[2]Lote Agroindustria'!B63</f>
        <v>48101510</v>
      </c>
      <c r="C129" s="419" t="str">
        <f>+'[2]Lote Agroindustria'!C63</f>
        <v>Caldero con antiadherente con tapa, 3,5 litros ó 32 cm</v>
      </c>
      <c r="D129" s="419" t="str">
        <f>+'[2]Lote Agroindustria'!D63</f>
        <v>Caldero en aluminio fundido que realza el sabor de las comidas, tapa que permite ver su contenido, 2 pequeñas orejas para su fácil manipulación, pequeño orificio sobre la tapa que permite la salida del vapor, una base antideslizante y en su interior una base antiadherente. Capacidad 3,5 L. ó 32 cm</v>
      </c>
      <c r="E129" s="421" t="s">
        <v>1698</v>
      </c>
      <c r="F129" s="421" t="s">
        <v>79</v>
      </c>
      <c r="G129" s="391">
        <v>1</v>
      </c>
      <c r="H129" s="143" t="s">
        <v>1937</v>
      </c>
      <c r="I129" s="22">
        <f>+'[2]Lote Agroindustria'!G99</f>
        <v>0</v>
      </c>
      <c r="J129" s="144">
        <f>+'[2]Lote Agroindustria'!H99</f>
        <v>0</v>
      </c>
      <c r="K129" s="89">
        <f>189900*1.04</f>
        <v>197496</v>
      </c>
      <c r="L129" s="5">
        <f>K129*G129+10000</f>
        <v>207496</v>
      </c>
      <c r="M129" s="411">
        <f t="shared" ref="M129" si="106">IFERROR(AVERAGE(L129:L130),"")</f>
        <v>174893.56</v>
      </c>
      <c r="N129" s="411">
        <f t="shared" ref="N129" si="107">IFERROR(HARMEAN(L129:L130),"")</f>
        <v>168816.04008472353</v>
      </c>
      <c r="O129" s="411">
        <f t="shared" ref="O129" si="108">IFERROR(MEDIAN(L129:L130),"")</f>
        <v>174893.56</v>
      </c>
      <c r="P129" s="86">
        <f t="shared" si="31"/>
        <v>207496</v>
      </c>
      <c r="Q129" s="413">
        <f t="shared" ref="Q129" si="109">IFERROR(SUM(P129:P130)/COUNTA(K129:K130),"")</f>
        <v>174893.56</v>
      </c>
      <c r="R129" s="411">
        <f t="shared" ref="R129" si="110">IFERROR(_xlfn.STDEV.S(L129:L130),"")</f>
        <v>46106.81281445513</v>
      </c>
      <c r="S129" s="415">
        <f t="shared" ref="S129" si="111">IFERROR(R129/M129,"")</f>
        <v>0.26362784778613418</v>
      </c>
      <c r="T129" s="405" t="s">
        <v>1955</v>
      </c>
      <c r="U129" s="407">
        <f t="shared" si="105"/>
        <v>174893.56</v>
      </c>
      <c r="V129" s="379"/>
    </row>
    <row r="130" spans="1:22" ht="45" customHeight="1" x14ac:dyDescent="0.3">
      <c r="A130" s="390"/>
      <c r="B130" s="392"/>
      <c r="C130" s="420"/>
      <c r="D130" s="420"/>
      <c r="E130" s="422"/>
      <c r="F130" s="422"/>
      <c r="G130" s="423"/>
      <c r="H130" s="145" t="s">
        <v>722</v>
      </c>
      <c r="I130" s="22">
        <v>0</v>
      </c>
      <c r="J130" s="23">
        <v>0</v>
      </c>
      <c r="K130" s="24">
        <f>127203*1.04</f>
        <v>132291.12</v>
      </c>
      <c r="L130" s="5">
        <f>K130*G129+10000</f>
        <v>142291.12</v>
      </c>
      <c r="M130" s="412"/>
      <c r="N130" s="412"/>
      <c r="O130" s="412"/>
      <c r="P130" s="86">
        <f t="shared" si="31"/>
        <v>142291.12</v>
      </c>
      <c r="Q130" s="414"/>
      <c r="R130" s="412"/>
      <c r="S130" s="416"/>
      <c r="T130" s="406"/>
      <c r="U130" s="408">
        <f t="shared" si="105"/>
        <v>0</v>
      </c>
      <c r="V130" s="379"/>
    </row>
    <row r="131" spans="1:22" ht="45" customHeight="1" x14ac:dyDescent="0.3">
      <c r="A131" s="389">
        <v>63</v>
      </c>
      <c r="B131" s="886">
        <f>+'[2]Lote Agroindustria'!B64</f>
        <v>48101802</v>
      </c>
      <c r="C131" s="419" t="str">
        <f>+'[2]Lote Agroindustria'!C64</f>
        <v>Molde policarbonato Rosas 21 cavidades</v>
      </c>
      <c r="D131" s="419" t="str">
        <f>+'[2]Lote Agroindustria'!D64</f>
        <v>Molde policarbonato: Molde de policarbonato para chocolatería, (unidad) material de fabricación en policarbonato transparente, superficie interna lisa, proporciona alta resistencia en su utilizacion, además de aportar mayor brillo a la cobertura de chocolate. Tamaño del molde 27.5 cm largo x 17.5 cm ancho x 2.8 cm alto, 24 cavidades. Tamaño del bombon de 11 - 12 gramos Tamaño cavidad 4.5x 2.5 cm diámetro x 1.2 cm profundidad.</v>
      </c>
      <c r="E131" s="421" t="s">
        <v>1698</v>
      </c>
      <c r="F131" s="421" t="s">
        <v>79</v>
      </c>
      <c r="G131" s="391">
        <v>1</v>
      </c>
      <c r="H131" s="143" t="s">
        <v>1942</v>
      </c>
      <c r="I131" s="22">
        <v>0</v>
      </c>
      <c r="J131" s="23">
        <v>0</v>
      </c>
      <c r="K131" s="24">
        <f>79899*1.04</f>
        <v>83094.960000000006</v>
      </c>
      <c r="L131" s="5">
        <f>K131*G131+13000</f>
        <v>96094.96</v>
      </c>
      <c r="M131" s="411">
        <f t="shared" ref="M131" si="112">IFERROR(AVERAGE(L131:L132),"")</f>
        <v>72027.48000000001</v>
      </c>
      <c r="N131" s="411">
        <f t="shared" ref="N131" si="113">IFERROR(HARMEAN(L131:L132),"")</f>
        <v>63985.499445489411</v>
      </c>
      <c r="O131" s="411">
        <f t="shared" ref="O131" si="114">IFERROR(MEDIAN(L131:L132),"")</f>
        <v>72027.48000000001</v>
      </c>
      <c r="P131" s="86">
        <f t="shared" si="31"/>
        <v>96094.96</v>
      </c>
      <c r="Q131" s="413">
        <f t="shared" ref="Q131" si="115">IFERROR(SUM(P131:P132)/COUNTA(K131:K132),"")</f>
        <v>72027.48000000001</v>
      </c>
      <c r="R131" s="411">
        <f t="shared" ref="R131" si="116">IFERROR(_xlfn.STDEV.S(L131:L132),"")</f>
        <v>34036.556628143211</v>
      </c>
      <c r="S131" s="415">
        <f t="shared" ref="S131" si="117">IFERROR(R131/M131,"")</f>
        <v>0.47254959673923352</v>
      </c>
      <c r="T131" s="405" t="s">
        <v>1951</v>
      </c>
      <c r="U131" s="407">
        <f t="shared" si="105"/>
        <v>72027.48000000001</v>
      </c>
      <c r="V131" s="379"/>
    </row>
    <row r="132" spans="1:22" ht="45" customHeight="1" x14ac:dyDescent="0.3">
      <c r="A132" s="390"/>
      <c r="B132" s="392"/>
      <c r="C132" s="420"/>
      <c r="D132" s="420"/>
      <c r="E132" s="422"/>
      <c r="F132" s="422"/>
      <c r="G132" s="423"/>
      <c r="H132" s="143" t="s">
        <v>1940</v>
      </c>
      <c r="I132" s="22">
        <v>0</v>
      </c>
      <c r="J132" s="23">
        <v>0</v>
      </c>
      <c r="K132" s="24">
        <f>36500*1.04</f>
        <v>37960</v>
      </c>
      <c r="L132" s="5">
        <f>K132*G131+10000</f>
        <v>47960</v>
      </c>
      <c r="M132" s="412"/>
      <c r="N132" s="412"/>
      <c r="O132" s="412"/>
      <c r="P132" s="86">
        <f t="shared" si="31"/>
        <v>47960</v>
      </c>
      <c r="Q132" s="414"/>
      <c r="R132" s="412"/>
      <c r="S132" s="416"/>
      <c r="T132" s="406"/>
      <c r="U132" s="408">
        <f t="shared" si="105"/>
        <v>0</v>
      </c>
      <c r="V132" s="379"/>
    </row>
    <row r="133" spans="1:22" ht="45" customHeight="1" x14ac:dyDescent="0.3">
      <c r="A133" s="389">
        <v>64</v>
      </c>
      <c r="B133" s="886">
        <f>+'[2]Lote Agroindustria'!B65</f>
        <v>48101800</v>
      </c>
      <c r="C133" s="419" t="str">
        <f>+'[2]Lote Agroindustria'!C65</f>
        <v>Molde policarbonato Media Esfera X 24 Cavidades</v>
      </c>
      <c r="D133" s="419" t="str">
        <f>+'[2]Lote Agroindustria'!D65</f>
        <v>Molde policarbonato: Molde de policarbonato para chocolatería para tabletas, (unidad) fabricado en policarbonato transparente, proporciona alta resistencia en su utilizacion, además de aportar mayor brillo a la cobertura de chocolate. Tamaño del molde 27.5 cm largo x 17.5 cm ancho x 2.8 cm alto, 3 cavidades de tabletas de 0.5 cm de profundidad. Peso de cada tableta 90 a 100 gramos.</v>
      </c>
      <c r="E133" s="421" t="s">
        <v>1698</v>
      </c>
      <c r="F133" s="421" t="s">
        <v>79</v>
      </c>
      <c r="G133" s="391">
        <v>1</v>
      </c>
      <c r="H133" s="143" t="s">
        <v>1942</v>
      </c>
      <c r="I133" s="22">
        <v>0</v>
      </c>
      <c r="J133" s="23">
        <v>0</v>
      </c>
      <c r="K133" s="24">
        <f>48000*1.04</f>
        <v>49920</v>
      </c>
      <c r="L133" s="5">
        <f>K133*G133+13000</f>
        <v>62920</v>
      </c>
      <c r="M133" s="411">
        <f t="shared" ref="M133" si="118">IFERROR(AVERAGE(L133:L134),"")</f>
        <v>55440</v>
      </c>
      <c r="N133" s="411">
        <f t="shared" ref="N133" si="119">IFERROR(HARMEAN(L133:L134),"")</f>
        <v>54430.793650793647</v>
      </c>
      <c r="O133" s="411">
        <f t="shared" ref="O133" si="120">IFERROR(MEDIAN(L133:L134),"")</f>
        <v>55440</v>
      </c>
      <c r="P133" s="86">
        <f t="shared" si="31"/>
        <v>62920</v>
      </c>
      <c r="Q133" s="413">
        <f t="shared" ref="Q133" si="121">IFERROR(SUM(P133:P134)/COUNTA(K133:K134),"")</f>
        <v>55440</v>
      </c>
      <c r="R133" s="411">
        <f t="shared" ref="R133" si="122">IFERROR(_xlfn.STDEV.S(L133:L134),"")</f>
        <v>10578.317446550751</v>
      </c>
      <c r="S133" s="415">
        <f t="shared" ref="S133" si="123">IFERROR(R133/M133,"")</f>
        <v>0.19080659174875092</v>
      </c>
      <c r="T133" s="405" t="s">
        <v>1951</v>
      </c>
      <c r="U133" s="407">
        <f t="shared" si="105"/>
        <v>55440</v>
      </c>
      <c r="V133" s="379"/>
    </row>
    <row r="134" spans="1:22" ht="45" customHeight="1" x14ac:dyDescent="0.3">
      <c r="A134" s="390"/>
      <c r="B134" s="392"/>
      <c r="C134" s="420"/>
      <c r="D134" s="420"/>
      <c r="E134" s="422"/>
      <c r="F134" s="422"/>
      <c r="G134" s="423"/>
      <c r="H134" s="143" t="s">
        <v>1940</v>
      </c>
      <c r="I134" s="22">
        <v>0</v>
      </c>
      <c r="J134" s="23">
        <v>0</v>
      </c>
      <c r="K134" s="24">
        <f>36500*1.04</f>
        <v>37960</v>
      </c>
      <c r="L134" s="5">
        <f>K134*G133+10000</f>
        <v>47960</v>
      </c>
      <c r="M134" s="412"/>
      <c r="N134" s="412"/>
      <c r="O134" s="412"/>
      <c r="P134" s="86">
        <f t="shared" si="31"/>
        <v>47960</v>
      </c>
      <c r="Q134" s="414"/>
      <c r="R134" s="412"/>
      <c r="S134" s="416"/>
      <c r="T134" s="406"/>
      <c r="U134" s="408">
        <f t="shared" si="105"/>
        <v>0</v>
      </c>
      <c r="V134" s="379"/>
    </row>
    <row r="135" spans="1:22" ht="45" customHeight="1" x14ac:dyDescent="0.3">
      <c r="A135" s="389">
        <v>65</v>
      </c>
      <c r="B135" s="886">
        <f>+'[2]Lote Agroindustria'!B66</f>
        <v>48101802</v>
      </c>
      <c r="C135" s="419" t="str">
        <f>+'[2]Lote Agroindustria'!C66</f>
        <v>Tapete de silicona</v>
      </c>
      <c r="D135" s="419" t="str">
        <f>+'[2]Lote Agroindustria'!D66</f>
        <v>Tapete de silicona: Tapete de Silicona (Unidad), fabricados en silicona alimentaria, resistentes a la temperatura y pueden entrar en contacto con los alimentos. Tolerancia a temperaturas de hasta 240ºC. Medidas ancho entre 30 y 42 cm y largo entre 60 y 65 cm.</v>
      </c>
      <c r="E135" s="421" t="s">
        <v>1698</v>
      </c>
      <c r="F135" s="421" t="s">
        <v>79</v>
      </c>
      <c r="G135" s="391">
        <v>1</v>
      </c>
      <c r="H135" s="143" t="s">
        <v>1942</v>
      </c>
      <c r="I135" s="22">
        <v>0</v>
      </c>
      <c r="J135" s="23">
        <v>0</v>
      </c>
      <c r="K135" s="24">
        <f>125000*1.04</f>
        <v>130000</v>
      </c>
      <c r="L135" s="5">
        <f>K135*G135+13000</f>
        <v>143000</v>
      </c>
      <c r="M135" s="411">
        <f t="shared" ref="M135" si="124">IFERROR(AVERAGE(L135:L136),"")</f>
        <v>139888</v>
      </c>
      <c r="N135" s="411">
        <f t="shared" ref="N135" si="125">IFERROR(HARMEAN(L135:L136),"")</f>
        <v>139818.7693011552</v>
      </c>
      <c r="O135" s="411">
        <f t="shared" ref="O135" si="126">IFERROR(MEDIAN(L135:L136),"")</f>
        <v>139888</v>
      </c>
      <c r="P135" s="86">
        <f t="shared" ref="P135:P152" si="127">IF(L135="","",L135)</f>
        <v>143000</v>
      </c>
      <c r="Q135" s="413">
        <f t="shared" ref="Q135" si="128">IFERROR(SUM(P135:P136)/COUNTA(K135:K136),"")</f>
        <v>139888</v>
      </c>
      <c r="R135" s="411">
        <f t="shared" ref="R135" si="129">IFERROR(_xlfn.STDEV.S(L135:L136),"")</f>
        <v>4401.0326061050719</v>
      </c>
      <c r="S135" s="415">
        <f t="shared" ref="S135" si="130">IFERROR(R135/M135,"")</f>
        <v>3.1461116079328263E-2</v>
      </c>
      <c r="T135" s="405" t="s">
        <v>1951</v>
      </c>
      <c r="U135" s="407">
        <f t="shared" si="105"/>
        <v>139888</v>
      </c>
      <c r="V135" s="379"/>
    </row>
    <row r="136" spans="1:22" ht="45" customHeight="1" x14ac:dyDescent="0.3">
      <c r="A136" s="390"/>
      <c r="B136" s="392"/>
      <c r="C136" s="420"/>
      <c r="D136" s="420"/>
      <c r="E136" s="422"/>
      <c r="F136" s="422"/>
      <c r="G136" s="423"/>
      <c r="H136" s="143" t="s">
        <v>1940</v>
      </c>
      <c r="I136" s="22">
        <v>0</v>
      </c>
      <c r="J136" s="23">
        <v>0</v>
      </c>
      <c r="K136" s="24">
        <f>121900*1.04</f>
        <v>126776</v>
      </c>
      <c r="L136" s="5">
        <f>K136*G135+10000</f>
        <v>136776</v>
      </c>
      <c r="M136" s="412"/>
      <c r="N136" s="412"/>
      <c r="O136" s="412"/>
      <c r="P136" s="86">
        <f t="shared" si="127"/>
        <v>136776</v>
      </c>
      <c r="Q136" s="414"/>
      <c r="R136" s="412"/>
      <c r="S136" s="416"/>
      <c r="T136" s="406"/>
      <c r="U136" s="408">
        <f t="shared" si="105"/>
        <v>0</v>
      </c>
      <c r="V136" s="379"/>
    </row>
    <row r="137" spans="1:22" ht="45" customHeight="1" x14ac:dyDescent="0.3">
      <c r="A137" s="389">
        <v>66</v>
      </c>
      <c r="B137" s="886">
        <f>+'[2]Lote Agroindustria'!B67</f>
        <v>50161511</v>
      </c>
      <c r="C137" s="419" t="str">
        <f>+'[2]Lote Agroindustria'!C67</f>
        <v>Cocoa en polvo. 
Bolsa X  230 gramos</v>
      </c>
      <c r="D137" s="419" t="str">
        <f>+'[2]Lote Agroindustria'!D67</f>
        <v>Cacao en polvo sin azúcar ni edulcorantes añadidos, libre de impurezas, olor o sabores extraños. Empacado en bolsa impresa, rotulada  y demás requisitos de la resolución 5109 de 2005.</v>
      </c>
      <c r="E137" s="421" t="s">
        <v>108</v>
      </c>
      <c r="F137" s="421" t="s">
        <v>290</v>
      </c>
      <c r="G137" s="391">
        <v>1</v>
      </c>
      <c r="H137" s="143" t="s">
        <v>1937</v>
      </c>
      <c r="I137" s="22">
        <f>+'[2]Lote Agroindustria'!G107</f>
        <v>0</v>
      </c>
      <c r="J137" s="144">
        <f>+'[2]Lote Agroindustria'!H107</f>
        <v>0</v>
      </c>
      <c r="K137" s="89">
        <f>16450*1.04</f>
        <v>17108</v>
      </c>
      <c r="L137" s="5">
        <f>K137*G137+10000</f>
        <v>27108</v>
      </c>
      <c r="M137" s="411">
        <f t="shared" ref="M137" si="131">IFERROR(AVERAGE(L137:L138),"")</f>
        <v>27992</v>
      </c>
      <c r="N137" s="411">
        <f t="shared" ref="N137" si="132">IFERROR(HARMEAN(L137:L138),"")</f>
        <v>27964.082880823094</v>
      </c>
      <c r="O137" s="411">
        <f t="shared" ref="O137" si="133">IFERROR(MEDIAN(L137:L138),"")</f>
        <v>27992</v>
      </c>
      <c r="P137" s="86">
        <f t="shared" si="127"/>
        <v>27108</v>
      </c>
      <c r="Q137" s="413">
        <f t="shared" ref="Q137" si="134">IFERROR(SUM(P137:P138)/COUNTA(K137:K138),"")</f>
        <v>27992</v>
      </c>
      <c r="R137" s="411">
        <f t="shared" ref="R137" si="135">IFERROR(_xlfn.STDEV.S(L137:L138),"")</f>
        <v>1250.1647891378161</v>
      </c>
      <c r="S137" s="415">
        <f t="shared" ref="S137" si="136">IFERROR(R137/M137,"")</f>
        <v>4.4661502898607319E-2</v>
      </c>
      <c r="T137" s="405" t="s">
        <v>1938</v>
      </c>
      <c r="U137" s="407">
        <f t="shared" si="105"/>
        <v>27992</v>
      </c>
      <c r="V137" s="379"/>
    </row>
    <row r="138" spans="1:22" ht="45" customHeight="1" x14ac:dyDescent="0.3">
      <c r="A138" s="390"/>
      <c r="B138" s="392"/>
      <c r="C138" s="420"/>
      <c r="D138" s="420"/>
      <c r="E138" s="422"/>
      <c r="F138" s="422"/>
      <c r="G138" s="423"/>
      <c r="H138" s="145" t="s">
        <v>1936</v>
      </c>
      <c r="I138" s="22">
        <f>+'[2]Lote Agroindustria'!K107</f>
        <v>0</v>
      </c>
      <c r="J138" s="144">
        <f>+'[2]Lote Agroindustria'!L107</f>
        <v>0</v>
      </c>
      <c r="K138" s="89">
        <f>18150*1.04</f>
        <v>18876</v>
      </c>
      <c r="L138" s="5">
        <f>K138*G137+10000</f>
        <v>28876</v>
      </c>
      <c r="M138" s="412"/>
      <c r="N138" s="412"/>
      <c r="O138" s="412"/>
      <c r="P138" s="86">
        <f t="shared" si="127"/>
        <v>28876</v>
      </c>
      <c r="Q138" s="414"/>
      <c r="R138" s="412"/>
      <c r="S138" s="416"/>
      <c r="T138" s="406"/>
      <c r="U138" s="408">
        <f t="shared" si="105"/>
        <v>0</v>
      </c>
      <c r="V138" s="379"/>
    </row>
    <row r="139" spans="1:22" ht="45" customHeight="1" x14ac:dyDescent="0.3">
      <c r="A139" s="389">
        <v>67</v>
      </c>
      <c r="B139" s="886">
        <f>+'[2]Lote Agroindustria'!B68</f>
        <v>52151506</v>
      </c>
      <c r="C139" s="419" t="str">
        <f>+'[2]Lote Agroindustria'!C68</f>
        <v>Contenedor tapa plana, transparente sello plus japon 5 onzas
Paquete x 20 unidades</v>
      </c>
      <c r="D139" s="419" t="str">
        <f>+'[2]Lote Agroindustria'!D68</f>
        <v>Contenedor transparente tapa plana sello plus japon 5 onzas (237 ml), para contacto con alimentos. Que los hace completamente herméticos, conservan perfectamente los alimentos porque tienen barrera protectora que no permite el paso del oxígeno ni el vapor de agua, fácil de apilar, resistente al rasgado. paquete por 20 unidades.
Largo: 13 cm
Ancho: 10.5 cm
Alto: 5.0 cm
Capacidad: 5 oz
Color: Cristal</v>
      </c>
      <c r="E139" s="421" t="s">
        <v>1698</v>
      </c>
      <c r="F139" s="421" t="s">
        <v>290</v>
      </c>
      <c r="G139" s="391">
        <v>1</v>
      </c>
      <c r="H139" s="143" t="s">
        <v>1940</v>
      </c>
      <c r="I139" s="22">
        <f>+'[2]Lote Agroindustria'!G109</f>
        <v>0</v>
      </c>
      <c r="J139" s="144">
        <f>+'[2]Lote Agroindustria'!H109</f>
        <v>0</v>
      </c>
      <c r="K139" s="89">
        <f>9500*1.04</f>
        <v>9880</v>
      </c>
      <c r="L139" s="5">
        <f>K139*G139+10000</f>
        <v>19880</v>
      </c>
      <c r="M139" s="411">
        <f t="shared" ref="M139" si="137">IFERROR(AVERAGE(L139:L140),"")</f>
        <v>25288</v>
      </c>
      <c r="N139" s="411">
        <f t="shared" ref="N139" si="138">IFERROR(HARMEAN(L139:L140),"")</f>
        <v>24131.46472635242</v>
      </c>
      <c r="O139" s="411">
        <f t="shared" ref="O139" si="139">IFERROR(MEDIAN(L139:L140),"")</f>
        <v>25288</v>
      </c>
      <c r="P139" s="86">
        <f t="shared" si="127"/>
        <v>19880</v>
      </c>
      <c r="Q139" s="413">
        <f t="shared" ref="Q139" si="140">IFERROR(SUM(P139:P140)/COUNTA(K139:K140),"")</f>
        <v>25288</v>
      </c>
      <c r="R139" s="411">
        <f t="shared" ref="R139" si="141">IFERROR(_xlfn.STDEV.S(L139:L140),"")</f>
        <v>7648.0669453136979</v>
      </c>
      <c r="S139" s="415">
        <f t="shared" ref="S139" si="142">IFERROR(R139/M139,"")</f>
        <v>0.30243858530977924</v>
      </c>
      <c r="T139" s="405" t="s">
        <v>1956</v>
      </c>
      <c r="U139" s="407">
        <f t="shared" si="105"/>
        <v>25288</v>
      </c>
      <c r="V139" s="379"/>
    </row>
    <row r="140" spans="1:22" ht="45" customHeight="1" x14ac:dyDescent="0.3">
      <c r="A140" s="390"/>
      <c r="B140" s="392"/>
      <c r="C140" s="420"/>
      <c r="D140" s="420"/>
      <c r="E140" s="422"/>
      <c r="F140" s="422"/>
      <c r="G140" s="423"/>
      <c r="H140" s="145" t="s">
        <v>722</v>
      </c>
      <c r="I140" s="22">
        <f>+'[2]Lote Agroindustria'!K109</f>
        <v>0</v>
      </c>
      <c r="J140" s="144">
        <f>+'[2]Lote Agroindustria'!L109</f>
        <v>0</v>
      </c>
      <c r="K140" s="89">
        <f>19900*1.04</f>
        <v>20696</v>
      </c>
      <c r="L140" s="5">
        <f>K140*G139+10000</f>
        <v>30696</v>
      </c>
      <c r="M140" s="412"/>
      <c r="N140" s="412"/>
      <c r="O140" s="412"/>
      <c r="P140" s="86">
        <f t="shared" si="127"/>
        <v>30696</v>
      </c>
      <c r="Q140" s="414"/>
      <c r="R140" s="412"/>
      <c r="S140" s="416"/>
      <c r="T140" s="406"/>
      <c r="U140" s="408">
        <f t="shared" si="105"/>
        <v>0</v>
      </c>
      <c r="V140" s="379"/>
    </row>
    <row r="141" spans="1:22" ht="45" customHeight="1" x14ac:dyDescent="0.3">
      <c r="A141" s="389">
        <v>68</v>
      </c>
      <c r="B141" s="886">
        <f>+'[2]Lote Agroindustria'!B69</f>
        <v>52151506</v>
      </c>
      <c r="C141" s="419" t="str">
        <f>+'[2]Lote Agroindustria'!C69</f>
        <v>Contenedor tapa plana, transparente sello plus 8 onzas</v>
      </c>
      <c r="D141" s="419" t="str">
        <f>+'[2]Lote Agroindustria'!D69</f>
        <v xml:space="preserve">Contenedor transparente tapa plana sello plus 8 onzas (237 ml), para contacto con alimentos. Que los hace completamente herméticos, conservan perfectamente los alimentos porque tienen barrera protectora que no permite el paso del oxígeno ni el vapor de agua, fácil de apilar, resistente al rasgado. </v>
      </c>
      <c r="E141" s="421" t="s">
        <v>1698</v>
      </c>
      <c r="F141" s="421" t="s">
        <v>79</v>
      </c>
      <c r="G141" s="391">
        <v>1</v>
      </c>
      <c r="H141" s="143" t="s">
        <v>1942</v>
      </c>
      <c r="I141" s="22">
        <v>0</v>
      </c>
      <c r="J141" s="23">
        <v>0</v>
      </c>
      <c r="K141" s="24">
        <f>700*1.04</f>
        <v>728</v>
      </c>
      <c r="L141" s="5">
        <f>K141*G141+13000</f>
        <v>13728</v>
      </c>
      <c r="M141" s="411">
        <f t="shared" ref="M141" si="143">IFERROR(AVERAGE(L141:L142),"")</f>
        <v>12133.1</v>
      </c>
      <c r="N141" s="411">
        <f t="shared" ref="N141" si="144">IFERROR(HARMEAN(L141:L142),"")</f>
        <v>11923.449868541429</v>
      </c>
      <c r="O141" s="411">
        <f t="shared" ref="O141" si="145">IFERROR(MEDIAN(L141:L142),"")</f>
        <v>12133.1</v>
      </c>
      <c r="P141" s="86">
        <f t="shared" si="127"/>
        <v>13728</v>
      </c>
      <c r="Q141" s="413">
        <f t="shared" ref="Q141" si="146">IFERROR(SUM(P141:P142)/COUNTA(K141:K142),"")</f>
        <v>12133.1</v>
      </c>
      <c r="R141" s="411">
        <f t="shared" ref="R141" si="147">IFERROR(_xlfn.STDEV.S(L141:L142),"")</f>
        <v>2255.5292106288452</v>
      </c>
      <c r="S141" s="415">
        <f t="shared" ref="S141" si="148">IFERROR(R141/M141,"")</f>
        <v>0.18589883958995188</v>
      </c>
      <c r="T141" s="405" t="s">
        <v>1951</v>
      </c>
      <c r="U141" s="407">
        <f t="shared" si="105"/>
        <v>12133.1</v>
      </c>
      <c r="V141" s="379"/>
    </row>
    <row r="142" spans="1:22" ht="45" customHeight="1" x14ac:dyDescent="0.3">
      <c r="A142" s="390"/>
      <c r="B142" s="392"/>
      <c r="C142" s="420"/>
      <c r="D142" s="420"/>
      <c r="E142" s="422"/>
      <c r="F142" s="422"/>
      <c r="G142" s="423"/>
      <c r="H142" s="143" t="s">
        <v>1940</v>
      </c>
      <c r="I142" s="22">
        <v>0</v>
      </c>
      <c r="J142" s="23">
        <v>0</v>
      </c>
      <c r="K142" s="24">
        <f>517.5*1.04</f>
        <v>538.20000000000005</v>
      </c>
      <c r="L142" s="5">
        <f>K142*G141+10000</f>
        <v>10538.2</v>
      </c>
      <c r="M142" s="412"/>
      <c r="N142" s="412"/>
      <c r="O142" s="412"/>
      <c r="P142" s="86">
        <f t="shared" si="127"/>
        <v>10538.2</v>
      </c>
      <c r="Q142" s="414"/>
      <c r="R142" s="412"/>
      <c r="S142" s="416"/>
      <c r="T142" s="406"/>
      <c r="U142" s="408">
        <f t="shared" si="105"/>
        <v>0</v>
      </c>
      <c r="V142" s="379"/>
    </row>
    <row r="143" spans="1:22" ht="45" customHeight="1" x14ac:dyDescent="0.3">
      <c r="A143" s="389">
        <v>69</v>
      </c>
      <c r="B143" s="886">
        <f>+'[2]Lote Agroindustria'!B70</f>
        <v>50161511</v>
      </c>
      <c r="C143" s="419" t="str">
        <f>+'[2]Lote Agroindustria'!C70</f>
        <v xml:space="preserve">Chocolate Blanco Real al 36.5% Manteca de Cacao
Presentación de 2.5 Kilos </v>
      </c>
      <c r="D143" s="419" t="str">
        <f>+'[2]Lote Agroindustria'!D70</f>
        <v>Chocolate Real Blanco con manteca de cacao al 36,5 %. Presentación Bolsa x 2.5 kg</v>
      </c>
      <c r="E143" s="421" t="s">
        <v>65</v>
      </c>
      <c r="F143" s="421" t="s">
        <v>290</v>
      </c>
      <c r="G143" s="391">
        <v>1</v>
      </c>
      <c r="H143" s="143" t="s">
        <v>1940</v>
      </c>
      <c r="I143" s="22">
        <v>0</v>
      </c>
      <c r="J143" s="23">
        <v>0</v>
      </c>
      <c r="K143" s="24">
        <f>199800*1.04</f>
        <v>207792</v>
      </c>
      <c r="L143" s="5">
        <f>K143*G143+10000</f>
        <v>217792</v>
      </c>
      <c r="M143" s="411">
        <f t="shared" ref="M143" si="149">IFERROR(AVERAGE(L143:L144),"")</f>
        <v>216001.12</v>
      </c>
      <c r="N143" s="411">
        <f t="shared" ref="N143" si="150">IFERROR(HARMEAN(L143:L144),"")</f>
        <v>215986.27169192454</v>
      </c>
      <c r="O143" s="411">
        <f t="shared" ref="O143" si="151">IFERROR(MEDIAN(L143:L144),"")</f>
        <v>216001.12</v>
      </c>
      <c r="P143" s="86">
        <f t="shared" si="127"/>
        <v>217792</v>
      </c>
      <c r="Q143" s="413">
        <f t="shared" ref="Q143" si="152">IFERROR(SUM(P143:P144)/COUNTA(K143:K144),"")</f>
        <v>216001.12</v>
      </c>
      <c r="R143" s="411">
        <f t="shared" ref="R143" si="153">IFERROR(_xlfn.STDEV.S(L143:L144),"")</f>
        <v>2532.6867845827146</v>
      </c>
      <c r="S143" s="415">
        <f t="shared" ref="S143" si="154">IFERROR(R143/M143,"")</f>
        <v>1.1725340982411177E-2</v>
      </c>
      <c r="T143" s="405" t="s">
        <v>1957</v>
      </c>
      <c r="U143" s="407">
        <f t="shared" si="105"/>
        <v>216001.12</v>
      </c>
      <c r="V143" s="379"/>
    </row>
    <row r="144" spans="1:22" ht="45" customHeight="1" x14ac:dyDescent="0.3">
      <c r="A144" s="390"/>
      <c r="B144" s="392"/>
      <c r="C144" s="420"/>
      <c r="D144" s="420"/>
      <c r="E144" s="422"/>
      <c r="F144" s="422"/>
      <c r="G144" s="423"/>
      <c r="H144" s="145" t="s">
        <v>1958</v>
      </c>
      <c r="I144" s="22">
        <v>0</v>
      </c>
      <c r="J144" s="23">
        <v>0</v>
      </c>
      <c r="K144" s="24">
        <f>196356*1.04</f>
        <v>204210.24000000002</v>
      </c>
      <c r="L144" s="5">
        <f>K144*G143+10000</f>
        <v>214210.24000000002</v>
      </c>
      <c r="M144" s="412"/>
      <c r="N144" s="412"/>
      <c r="O144" s="412"/>
      <c r="P144" s="86">
        <f t="shared" si="127"/>
        <v>214210.24000000002</v>
      </c>
      <c r="Q144" s="414"/>
      <c r="R144" s="412"/>
      <c r="S144" s="416"/>
      <c r="T144" s="406"/>
      <c r="U144" s="408">
        <f t="shared" si="105"/>
        <v>0</v>
      </c>
      <c r="V144" s="379"/>
    </row>
    <row r="145" spans="1:22" ht="45" customHeight="1" x14ac:dyDescent="0.3">
      <c r="A145" s="389">
        <v>70</v>
      </c>
      <c r="B145" s="886">
        <f>+'[2]Lote Agroindustria'!B71</f>
        <v>50161511</v>
      </c>
      <c r="C145" s="419" t="str">
        <f>+'[2]Lote Agroindustria'!C71</f>
        <v>Chocolate con leche Real al 37% de cacao.
Presentación Bolsa x 2.5 kg</v>
      </c>
      <c r="D145" s="419" t="str">
        <f>+'[2]Lote Agroindustria'!D71</f>
        <v>Chocolate con leche Real con cacao al 37% Presentación Bolsa x 2.5 kg</v>
      </c>
      <c r="E145" s="421" t="s">
        <v>65</v>
      </c>
      <c r="F145" s="421" t="s">
        <v>290</v>
      </c>
      <c r="G145" s="391">
        <v>1</v>
      </c>
      <c r="H145" s="143" t="s">
        <v>1940</v>
      </c>
      <c r="I145" s="22">
        <v>0</v>
      </c>
      <c r="J145" s="23">
        <v>0</v>
      </c>
      <c r="K145" s="24">
        <f>174200*1.04</f>
        <v>181168</v>
      </c>
      <c r="L145" s="5">
        <f>K145*G145+10000</f>
        <v>191168</v>
      </c>
      <c r="M145" s="411">
        <f t="shared" ref="M145" si="155">IFERROR(AVERAGE(L145:L146),"")</f>
        <v>213944</v>
      </c>
      <c r="N145" s="411">
        <f t="shared" ref="N145" si="156">IFERROR(HARMEAN(L145:L146),"")</f>
        <v>211519.31795236134</v>
      </c>
      <c r="O145" s="411">
        <f t="shared" ref="O145" si="157">IFERROR(MEDIAN(L145:L146),"")</f>
        <v>213944</v>
      </c>
      <c r="P145" s="86">
        <f t="shared" si="127"/>
        <v>191168</v>
      </c>
      <c r="Q145" s="413">
        <f t="shared" ref="Q145" si="158">IFERROR(SUM(P145:P146)/COUNTA(K145:K146),"")</f>
        <v>213944</v>
      </c>
      <c r="R145" s="411">
        <f t="shared" ref="R145" si="159">IFERROR(_xlfn.STDEV.S(L145:L146),"")</f>
        <v>32210.128096609613</v>
      </c>
      <c r="S145" s="415">
        <f t="shared" ref="S145" si="160">IFERROR(R145/M145,"")</f>
        <v>0.15055401458610485</v>
      </c>
      <c r="T145" s="405" t="s">
        <v>1951</v>
      </c>
      <c r="U145" s="407">
        <f t="shared" si="105"/>
        <v>213944</v>
      </c>
      <c r="V145" s="379"/>
    </row>
    <row r="146" spans="1:22" ht="45" customHeight="1" x14ac:dyDescent="0.3">
      <c r="A146" s="390"/>
      <c r="B146" s="392"/>
      <c r="C146" s="420"/>
      <c r="D146" s="420"/>
      <c r="E146" s="422"/>
      <c r="F146" s="422"/>
      <c r="G146" s="423"/>
      <c r="H146" s="143" t="s">
        <v>1942</v>
      </c>
      <c r="I146" s="22">
        <v>0</v>
      </c>
      <c r="J146" s="23">
        <v>0</v>
      </c>
      <c r="K146" s="24">
        <f>218000*1.04</f>
        <v>226720</v>
      </c>
      <c r="L146" s="5">
        <f>K146*G145+10000</f>
        <v>236720</v>
      </c>
      <c r="M146" s="412"/>
      <c r="N146" s="412"/>
      <c r="O146" s="412"/>
      <c r="P146" s="86">
        <f t="shared" si="127"/>
        <v>236720</v>
      </c>
      <c r="Q146" s="414"/>
      <c r="R146" s="412"/>
      <c r="S146" s="416"/>
      <c r="T146" s="406"/>
      <c r="U146" s="408">
        <f t="shared" si="105"/>
        <v>0</v>
      </c>
      <c r="V146" s="379"/>
    </row>
    <row r="147" spans="1:22" ht="45" customHeight="1" x14ac:dyDescent="0.3">
      <c r="A147" s="389">
        <v>71</v>
      </c>
      <c r="B147" s="886">
        <f>+'[2]Lote Agroindustria'!B72</f>
        <v>50161511</v>
      </c>
      <c r="C147" s="419" t="str">
        <f>+'[2]Lote Agroindustria'!C72</f>
        <v>Chocolate Real al 70% de cacao .
Presentación Bolsa x 2.5 kg</v>
      </c>
      <c r="D147" s="419" t="str">
        <f>+'[2]Lote Agroindustria'!D72</f>
        <v>Chocolate Real semiamargo con cacao al 70%. Presentación Bolsa x 2.5 kg</v>
      </c>
      <c r="E147" s="421" t="s">
        <v>65</v>
      </c>
      <c r="F147" s="421" t="s">
        <v>290</v>
      </c>
      <c r="G147" s="391">
        <v>1</v>
      </c>
      <c r="H147" s="143" t="s">
        <v>1940</v>
      </c>
      <c r="I147" s="22">
        <v>0</v>
      </c>
      <c r="J147" s="23">
        <v>0</v>
      </c>
      <c r="K147" s="24">
        <f>183850*1.04</f>
        <v>191204</v>
      </c>
      <c r="L147" s="5">
        <f>K147*G147+10000</f>
        <v>201204</v>
      </c>
      <c r="M147" s="411">
        <f t="shared" ref="M147" si="161">IFERROR(AVERAGE(L147:L148),"")</f>
        <v>224682</v>
      </c>
      <c r="N147" s="411">
        <f t="shared" ref="N147" si="162">IFERROR(HARMEAN(L147:L148),"")</f>
        <v>222228.68160333272</v>
      </c>
      <c r="O147" s="411">
        <f t="shared" ref="O147" si="163">IFERROR(MEDIAN(L147:L148),"")</f>
        <v>224682</v>
      </c>
      <c r="P147" s="86">
        <f t="shared" si="127"/>
        <v>201204</v>
      </c>
      <c r="Q147" s="413">
        <f t="shared" ref="Q147" si="164">IFERROR(SUM(P147:P148)/COUNTA(K147:K148),"")</f>
        <v>224682</v>
      </c>
      <c r="R147" s="411">
        <f t="shared" ref="R147" si="165">IFERROR(_xlfn.STDEV.S(L147:L148),"")</f>
        <v>33202.906017395522</v>
      </c>
      <c r="S147" s="415">
        <f t="shared" ref="S147" si="166">IFERROR(R147/M147,"")</f>
        <v>0.14777732981456246</v>
      </c>
      <c r="T147" s="405" t="s">
        <v>1951</v>
      </c>
      <c r="U147" s="407">
        <f t="shared" si="105"/>
        <v>224682</v>
      </c>
      <c r="V147" s="379"/>
    </row>
    <row r="148" spans="1:22" ht="45" customHeight="1" x14ac:dyDescent="0.3">
      <c r="A148" s="390"/>
      <c r="B148" s="392"/>
      <c r="C148" s="420"/>
      <c r="D148" s="420"/>
      <c r="E148" s="422"/>
      <c r="F148" s="422"/>
      <c r="G148" s="423"/>
      <c r="H148" s="143" t="s">
        <v>1942</v>
      </c>
      <c r="I148" s="22">
        <v>0</v>
      </c>
      <c r="J148" s="23">
        <v>0</v>
      </c>
      <c r="K148" s="24">
        <f>229000*1.04</f>
        <v>238160</v>
      </c>
      <c r="L148" s="5">
        <f>K148*G147+10000</f>
        <v>248160</v>
      </c>
      <c r="M148" s="412"/>
      <c r="N148" s="412"/>
      <c r="O148" s="412"/>
      <c r="P148" s="86">
        <f t="shared" si="127"/>
        <v>248160</v>
      </c>
      <c r="Q148" s="414"/>
      <c r="R148" s="412"/>
      <c r="S148" s="416"/>
      <c r="T148" s="406"/>
      <c r="U148" s="408">
        <f t="shared" si="105"/>
        <v>0</v>
      </c>
      <c r="V148" s="379"/>
    </row>
    <row r="149" spans="1:22" ht="98.25" customHeight="1" x14ac:dyDescent="0.3">
      <c r="A149" s="389">
        <v>72</v>
      </c>
      <c r="B149" s="886">
        <f>+'[2]Lote Agroindustria'!B73</f>
        <v>72152200</v>
      </c>
      <c r="C149" s="419" t="str">
        <f>+'[2]Lote Agroindustria'!C73</f>
        <v>Tabla de marmol para alimentos</v>
      </c>
      <c r="D149" s="419" t="str">
        <f>+'[2]Lote Agroindustria'!D73</f>
        <v>Piedra cuadrada pulida, dimensiones 60 cm x 60 cm</v>
      </c>
      <c r="E149" s="421" t="s">
        <v>1698</v>
      </c>
      <c r="F149" s="421" t="s">
        <v>79</v>
      </c>
      <c r="G149" s="391">
        <v>1</v>
      </c>
      <c r="H149" s="145" t="s">
        <v>722</v>
      </c>
      <c r="I149" s="22">
        <v>0</v>
      </c>
      <c r="J149" s="23">
        <v>0</v>
      </c>
      <c r="K149" s="24">
        <f>252102*1.04</f>
        <v>262186.08</v>
      </c>
      <c r="L149" s="5">
        <f>K149*G149+10000</f>
        <v>272186.08</v>
      </c>
      <c r="M149" s="411">
        <f t="shared" ref="M149" si="167">IFERROR(AVERAGE(L149:L150),"")</f>
        <v>274059.64</v>
      </c>
      <c r="N149" s="411">
        <f t="shared" ref="N149" si="168">IFERROR(HARMEAN(L149:L150),"")</f>
        <v>274046.8317401862</v>
      </c>
      <c r="O149" s="411">
        <f t="shared" ref="O149" si="169">IFERROR(MEDIAN(L149:L150),"")</f>
        <v>274059.64</v>
      </c>
      <c r="P149" s="86">
        <f t="shared" si="127"/>
        <v>272186.08</v>
      </c>
      <c r="Q149" s="413">
        <f t="shared" ref="Q149" si="170">IFERROR(SUM(P149:P150)/COUNTA(K149:K150),"")</f>
        <v>274059.64</v>
      </c>
      <c r="R149" s="411">
        <f t="shared" ref="R149" si="171">IFERROR(_xlfn.STDEV.S(L149:L150),"")</f>
        <v>2649.6139619197329</v>
      </c>
      <c r="S149" s="415">
        <f t="shared" ref="S149" si="172">IFERROR(R149/M149,"")</f>
        <v>9.6680195665430086E-3</v>
      </c>
      <c r="T149" s="405" t="s">
        <v>1946</v>
      </c>
      <c r="U149" s="407">
        <f t="shared" si="105"/>
        <v>274059.64</v>
      </c>
      <c r="V149" s="379"/>
    </row>
    <row r="150" spans="1:22" ht="174" customHeight="1" x14ac:dyDescent="0.3">
      <c r="A150" s="390"/>
      <c r="B150" s="392"/>
      <c r="C150" s="420"/>
      <c r="D150" s="420"/>
      <c r="E150" s="422"/>
      <c r="F150" s="422"/>
      <c r="G150" s="423"/>
      <c r="H150" s="145" t="s">
        <v>73</v>
      </c>
      <c r="I150" s="22">
        <v>0</v>
      </c>
      <c r="J150" s="23">
        <v>0</v>
      </c>
      <c r="K150" s="24">
        <f>255705*1.04</f>
        <v>265933.2</v>
      </c>
      <c r="L150" s="5">
        <f t="shared" ref="L150" si="173">K150*G149+10000</f>
        <v>275933.2</v>
      </c>
      <c r="M150" s="412"/>
      <c r="N150" s="412"/>
      <c r="O150" s="412"/>
      <c r="P150" s="86">
        <f t="shared" si="127"/>
        <v>275933.2</v>
      </c>
      <c r="Q150" s="414"/>
      <c r="R150" s="412"/>
      <c r="S150" s="416"/>
      <c r="T150" s="406"/>
      <c r="U150" s="408">
        <f t="shared" si="105"/>
        <v>0</v>
      </c>
      <c r="V150" s="379"/>
    </row>
    <row r="151" spans="1:22" ht="130.5" customHeight="1" x14ac:dyDescent="0.3">
      <c r="A151" s="389">
        <v>73</v>
      </c>
      <c r="B151" s="391">
        <f>+'[2]Lote Agroindustria'!B74</f>
        <v>24112403</v>
      </c>
      <c r="C151" s="419" t="str">
        <f>+'[2]Lote Agroindustria'!C74</f>
        <v>Caja de herramientas con ruedas y mango</v>
      </c>
      <c r="D151" s="419" t="str">
        <f>+'[2]Lote Agroindustria'!D74</f>
        <v>Tipo Caja de herramientas. Cierre Clip. Material Polipropileno. Características: Cubierta superior con 3 áreas de almacenamiento, Fabricada en polipropileno de alto impacto, Puede colocarse candado, Permite colocar candado, Mango de alta resistencia y para fácil transporte, Modelo ancho para mayor capacidad, Contiene 1 bandeja de plástico, Es liviana y lavable</v>
      </c>
      <c r="E151" s="421" t="s">
        <v>1698</v>
      </c>
      <c r="F151" s="421" t="s">
        <v>79</v>
      </c>
      <c r="G151" s="391">
        <v>1</v>
      </c>
      <c r="H151" s="145" t="s">
        <v>722</v>
      </c>
      <c r="I151" s="22">
        <v>0</v>
      </c>
      <c r="J151" s="23">
        <v>0</v>
      </c>
      <c r="K151" s="24">
        <f>229900*1.04</f>
        <v>239096</v>
      </c>
      <c r="L151" s="5">
        <f>K151*G151+10000</f>
        <v>249096</v>
      </c>
      <c r="M151" s="411">
        <f t="shared" ref="M151" si="174">IFERROR(AVERAGE(L151:L152),"")</f>
        <v>244416</v>
      </c>
      <c r="N151" s="411">
        <f t="shared" ref="N151" si="175">IFERROR(HARMEAN(L151:L152),"")</f>
        <v>244326.38884524742</v>
      </c>
      <c r="O151" s="411">
        <f t="shared" ref="O151" si="176">IFERROR(MEDIAN(L151:L152),"")</f>
        <v>244416</v>
      </c>
      <c r="P151" s="86">
        <f t="shared" si="127"/>
        <v>249096</v>
      </c>
      <c r="Q151" s="413">
        <f t="shared" ref="Q151" si="177">IFERROR(SUM(P151:P152)/COUNTA(K151:K152),"")</f>
        <v>244416</v>
      </c>
      <c r="R151" s="411">
        <f t="shared" ref="R151" si="178">IFERROR(_xlfn.STDEV.S(L151:L152),"")</f>
        <v>6618.5194719060846</v>
      </c>
      <c r="S151" s="415">
        <f t="shared" ref="S151" si="179">IFERROR(R151/M151,"")</f>
        <v>2.7078912476703999E-2</v>
      </c>
      <c r="T151" s="405" t="s">
        <v>1946</v>
      </c>
      <c r="U151" s="407">
        <f t="shared" si="105"/>
        <v>244416</v>
      </c>
      <c r="V151" s="379"/>
    </row>
    <row r="152" spans="1:22" ht="117" customHeight="1" x14ac:dyDescent="0.3">
      <c r="A152" s="390"/>
      <c r="B152" s="883"/>
      <c r="C152" s="884"/>
      <c r="D152" s="884"/>
      <c r="E152" s="885"/>
      <c r="F152" s="885"/>
      <c r="G152" s="883"/>
      <c r="H152" s="199" t="s">
        <v>73</v>
      </c>
      <c r="I152" s="200">
        <v>0</v>
      </c>
      <c r="J152" s="201">
        <v>0</v>
      </c>
      <c r="K152" s="202">
        <f>220900*1.04</f>
        <v>229736</v>
      </c>
      <c r="L152" s="203">
        <f>K152*G151+10000</f>
        <v>239736</v>
      </c>
      <c r="M152" s="438"/>
      <c r="N152" s="438"/>
      <c r="O152" s="438"/>
      <c r="P152" s="87">
        <f t="shared" si="127"/>
        <v>239736</v>
      </c>
      <c r="Q152" s="470"/>
      <c r="R152" s="438"/>
      <c r="S152" s="887"/>
      <c r="T152" s="439"/>
      <c r="U152" s="462">
        <f t="shared" si="105"/>
        <v>0</v>
      </c>
      <c r="V152" s="379"/>
    </row>
    <row r="154" spans="1:22" x14ac:dyDescent="0.3">
      <c r="U154" s="206">
        <f>SUM(U7:U153)</f>
        <v>4767999.6350399991</v>
      </c>
    </row>
  </sheetData>
  <mergeCells count="1196">
    <mergeCell ref="A1:B4"/>
    <mergeCell ref="C1:G4"/>
    <mergeCell ref="H1:L4"/>
    <mergeCell ref="M1:T4"/>
    <mergeCell ref="U1:U2"/>
    <mergeCell ref="V1:V2"/>
    <mergeCell ref="S5:S6"/>
    <mergeCell ref="T5:T6"/>
    <mergeCell ref="U5:U6"/>
    <mergeCell ref="V5:V6"/>
    <mergeCell ref="A7:A8"/>
    <mergeCell ref="B7:B8"/>
    <mergeCell ref="C7:C8"/>
    <mergeCell ref="D7:D8"/>
    <mergeCell ref="E7:E8"/>
    <mergeCell ref="F7:F8"/>
    <mergeCell ref="M5:M6"/>
    <mergeCell ref="N5:N6"/>
    <mergeCell ref="O5:O6"/>
    <mergeCell ref="P5:P6"/>
    <mergeCell ref="Q5:Q6"/>
    <mergeCell ref="R5:R6"/>
    <mergeCell ref="G5:G6"/>
    <mergeCell ref="H5:H6"/>
    <mergeCell ref="I5:I6"/>
    <mergeCell ref="J5:J6"/>
    <mergeCell ref="K5:K6"/>
    <mergeCell ref="L5:L6"/>
    <mergeCell ref="A5:A6"/>
    <mergeCell ref="B5:B6"/>
    <mergeCell ref="C5:C6"/>
    <mergeCell ref="D5:D6"/>
    <mergeCell ref="E5:E6"/>
    <mergeCell ref="F5:F6"/>
    <mergeCell ref="S9:S10"/>
    <mergeCell ref="T9:T10"/>
    <mergeCell ref="U9:U10"/>
    <mergeCell ref="V9:V10"/>
    <mergeCell ref="A11:A12"/>
    <mergeCell ref="B11:B12"/>
    <mergeCell ref="C11:C12"/>
    <mergeCell ref="D11:D12"/>
    <mergeCell ref="E11:E12"/>
    <mergeCell ref="F11:F12"/>
    <mergeCell ref="G9:G10"/>
    <mergeCell ref="M9:M10"/>
    <mergeCell ref="N9:N10"/>
    <mergeCell ref="O9:O10"/>
    <mergeCell ref="Q9:Q10"/>
    <mergeCell ref="R9:R10"/>
    <mergeCell ref="S7:S8"/>
    <mergeCell ref="T7:T8"/>
    <mergeCell ref="U7:U8"/>
    <mergeCell ref="V7:V8"/>
    <mergeCell ref="A9:A10"/>
    <mergeCell ref="B9:B10"/>
    <mergeCell ref="C9:C10"/>
    <mergeCell ref="D9:D10"/>
    <mergeCell ref="E9:E10"/>
    <mergeCell ref="F9:F10"/>
    <mergeCell ref="G7:G8"/>
    <mergeCell ref="M7:M8"/>
    <mergeCell ref="N7:N8"/>
    <mergeCell ref="O7:O8"/>
    <mergeCell ref="Q7:Q8"/>
    <mergeCell ref="R7:R8"/>
    <mergeCell ref="S13:S14"/>
    <mergeCell ref="T13:T14"/>
    <mergeCell ref="U13:U14"/>
    <mergeCell ref="V13:V14"/>
    <mergeCell ref="A15:A16"/>
    <mergeCell ref="B15:B16"/>
    <mergeCell ref="C15:C16"/>
    <mergeCell ref="D15:D16"/>
    <mergeCell ref="E15:E16"/>
    <mergeCell ref="F15:F16"/>
    <mergeCell ref="G13:G14"/>
    <mergeCell ref="M13:M14"/>
    <mergeCell ref="N13:N14"/>
    <mergeCell ref="O13:O14"/>
    <mergeCell ref="Q13:Q14"/>
    <mergeCell ref="R13:R14"/>
    <mergeCell ref="S11:S12"/>
    <mergeCell ref="T11:T12"/>
    <mergeCell ref="U11:U12"/>
    <mergeCell ref="V11:V12"/>
    <mergeCell ref="A13:A14"/>
    <mergeCell ref="B13:B14"/>
    <mergeCell ref="C13:C14"/>
    <mergeCell ref="D13:D14"/>
    <mergeCell ref="E13:E14"/>
    <mergeCell ref="F13:F14"/>
    <mergeCell ref="G11:G12"/>
    <mergeCell ref="M11:M12"/>
    <mergeCell ref="N11:N12"/>
    <mergeCell ref="O11:O12"/>
    <mergeCell ref="Q11:Q12"/>
    <mergeCell ref="R11:R12"/>
    <mergeCell ref="S17:S18"/>
    <mergeCell ref="T17:T18"/>
    <mergeCell ref="U17:U18"/>
    <mergeCell ref="V17:V18"/>
    <mergeCell ref="A19:A20"/>
    <mergeCell ref="B19:B20"/>
    <mergeCell ref="C19:C20"/>
    <mergeCell ref="D19:D20"/>
    <mergeCell ref="E19:E20"/>
    <mergeCell ref="F19:F20"/>
    <mergeCell ref="G17:G18"/>
    <mergeCell ref="M17:M18"/>
    <mergeCell ref="N17:N18"/>
    <mergeCell ref="O17:O18"/>
    <mergeCell ref="Q17:Q18"/>
    <mergeCell ref="R17:R18"/>
    <mergeCell ref="S15:S16"/>
    <mergeCell ref="T15:T16"/>
    <mergeCell ref="U15:U16"/>
    <mergeCell ref="V15:V16"/>
    <mergeCell ref="A17:A18"/>
    <mergeCell ref="B17:B18"/>
    <mergeCell ref="C17:C18"/>
    <mergeCell ref="D17:D18"/>
    <mergeCell ref="E17:E18"/>
    <mergeCell ref="F17:F18"/>
    <mergeCell ref="G15:G16"/>
    <mergeCell ref="M15:M16"/>
    <mergeCell ref="N15:N16"/>
    <mergeCell ref="O15:O16"/>
    <mergeCell ref="Q15:Q16"/>
    <mergeCell ref="R15:R16"/>
    <mergeCell ref="S21:S22"/>
    <mergeCell ref="T21:T22"/>
    <mergeCell ref="U21:U22"/>
    <mergeCell ref="V21:V22"/>
    <mergeCell ref="A23:A24"/>
    <mergeCell ref="B23:B24"/>
    <mergeCell ref="C23:C24"/>
    <mergeCell ref="D23:D24"/>
    <mergeCell ref="E23:E24"/>
    <mergeCell ref="F23:F24"/>
    <mergeCell ref="G21:G22"/>
    <mergeCell ref="M21:M22"/>
    <mergeCell ref="N21:N22"/>
    <mergeCell ref="O21:O22"/>
    <mergeCell ref="Q21:Q22"/>
    <mergeCell ref="R21:R22"/>
    <mergeCell ref="S19:S20"/>
    <mergeCell ref="T19:T20"/>
    <mergeCell ref="U19:U20"/>
    <mergeCell ref="V19:V20"/>
    <mergeCell ref="A21:A22"/>
    <mergeCell ref="B21:B22"/>
    <mergeCell ref="C21:C22"/>
    <mergeCell ref="D21:D22"/>
    <mergeCell ref="E21:E22"/>
    <mergeCell ref="F21:F22"/>
    <mergeCell ref="G19:G20"/>
    <mergeCell ref="M19:M20"/>
    <mergeCell ref="N19:N20"/>
    <mergeCell ref="O19:O20"/>
    <mergeCell ref="Q19:Q20"/>
    <mergeCell ref="R19:R20"/>
    <mergeCell ref="S25:S26"/>
    <mergeCell ref="T25:T26"/>
    <mergeCell ref="U25:U26"/>
    <mergeCell ref="V25:V26"/>
    <mergeCell ref="A27:A28"/>
    <mergeCell ref="B27:B28"/>
    <mergeCell ref="C27:C28"/>
    <mergeCell ref="D27:D28"/>
    <mergeCell ref="E27:E28"/>
    <mergeCell ref="F27:F28"/>
    <mergeCell ref="G25:G26"/>
    <mergeCell ref="M25:M26"/>
    <mergeCell ref="N25:N26"/>
    <mergeCell ref="O25:O26"/>
    <mergeCell ref="Q25:Q26"/>
    <mergeCell ref="R25:R26"/>
    <mergeCell ref="S23:S24"/>
    <mergeCell ref="T23:T24"/>
    <mergeCell ref="U23:U24"/>
    <mergeCell ref="V23:V24"/>
    <mergeCell ref="A25:A26"/>
    <mergeCell ref="B25:B26"/>
    <mergeCell ref="C25:C26"/>
    <mergeCell ref="D25:D26"/>
    <mergeCell ref="E25:E26"/>
    <mergeCell ref="F25:F26"/>
    <mergeCell ref="G23:G24"/>
    <mergeCell ref="M23:M24"/>
    <mergeCell ref="N23:N24"/>
    <mergeCell ref="O23:O24"/>
    <mergeCell ref="Q23:Q24"/>
    <mergeCell ref="R23:R24"/>
    <mergeCell ref="S29:S30"/>
    <mergeCell ref="T29:T30"/>
    <mergeCell ref="U29:U30"/>
    <mergeCell ref="V29:V30"/>
    <mergeCell ref="A31:A32"/>
    <mergeCell ref="B31:B32"/>
    <mergeCell ref="C31:C32"/>
    <mergeCell ref="D31:D32"/>
    <mergeCell ref="E31:E32"/>
    <mergeCell ref="F31:F32"/>
    <mergeCell ref="G29:G30"/>
    <mergeCell ref="M29:M30"/>
    <mergeCell ref="N29:N30"/>
    <mergeCell ref="O29:O30"/>
    <mergeCell ref="Q29:Q30"/>
    <mergeCell ref="R29:R30"/>
    <mergeCell ref="S27:S28"/>
    <mergeCell ref="T27:T28"/>
    <mergeCell ref="U27:U28"/>
    <mergeCell ref="V27:V28"/>
    <mergeCell ref="A29:A30"/>
    <mergeCell ref="B29:B30"/>
    <mergeCell ref="C29:C30"/>
    <mergeCell ref="D29:D30"/>
    <mergeCell ref="E29:E30"/>
    <mergeCell ref="F29:F30"/>
    <mergeCell ref="G27:G28"/>
    <mergeCell ref="M27:M28"/>
    <mergeCell ref="N27:N28"/>
    <mergeCell ref="O27:O28"/>
    <mergeCell ref="Q27:Q28"/>
    <mergeCell ref="R27:R28"/>
    <mergeCell ref="S33:S34"/>
    <mergeCell ref="T33:T34"/>
    <mergeCell ref="U33:U34"/>
    <mergeCell ref="V33:V34"/>
    <mergeCell ref="A35:A36"/>
    <mergeCell ref="B35:B36"/>
    <mergeCell ref="C35:C36"/>
    <mergeCell ref="D35:D36"/>
    <mergeCell ref="E35:E36"/>
    <mergeCell ref="F35:F36"/>
    <mergeCell ref="G33:G34"/>
    <mergeCell ref="M33:M34"/>
    <mergeCell ref="N33:N34"/>
    <mergeCell ref="O33:O34"/>
    <mergeCell ref="Q33:Q34"/>
    <mergeCell ref="R33:R34"/>
    <mergeCell ref="S31:S32"/>
    <mergeCell ref="T31:T32"/>
    <mergeCell ref="U31:U32"/>
    <mergeCell ref="V31:V32"/>
    <mergeCell ref="A33:A34"/>
    <mergeCell ref="B33:B34"/>
    <mergeCell ref="C33:C34"/>
    <mergeCell ref="D33:D34"/>
    <mergeCell ref="E33:E34"/>
    <mergeCell ref="F33:F34"/>
    <mergeCell ref="G31:G32"/>
    <mergeCell ref="M31:M32"/>
    <mergeCell ref="N31:N32"/>
    <mergeCell ref="O31:O32"/>
    <mergeCell ref="Q31:Q32"/>
    <mergeCell ref="R31:R32"/>
    <mergeCell ref="S37:S38"/>
    <mergeCell ref="T37:T38"/>
    <mergeCell ref="U37:U38"/>
    <mergeCell ref="V37:V38"/>
    <mergeCell ref="A39:A40"/>
    <mergeCell ref="B39:B40"/>
    <mergeCell ref="C39:C40"/>
    <mergeCell ref="D39:D40"/>
    <mergeCell ref="E39:E40"/>
    <mergeCell ref="F39:F40"/>
    <mergeCell ref="G37:G38"/>
    <mergeCell ref="M37:M38"/>
    <mergeCell ref="N37:N38"/>
    <mergeCell ref="O37:O38"/>
    <mergeCell ref="Q37:Q38"/>
    <mergeCell ref="R37:R38"/>
    <mergeCell ref="S35:S36"/>
    <mergeCell ref="T35:T36"/>
    <mergeCell ref="U35:U36"/>
    <mergeCell ref="V35:V36"/>
    <mergeCell ref="A37:A38"/>
    <mergeCell ref="B37:B38"/>
    <mergeCell ref="C37:C38"/>
    <mergeCell ref="D37:D38"/>
    <mergeCell ref="E37:E38"/>
    <mergeCell ref="F37:F38"/>
    <mergeCell ref="G35:G36"/>
    <mergeCell ref="M35:M36"/>
    <mergeCell ref="N35:N36"/>
    <mergeCell ref="O35:O36"/>
    <mergeCell ref="Q35:Q36"/>
    <mergeCell ref="R35:R36"/>
    <mergeCell ref="S41:S42"/>
    <mergeCell ref="T41:T42"/>
    <mergeCell ref="U41:U42"/>
    <mergeCell ref="V41:V42"/>
    <mergeCell ref="A43:A44"/>
    <mergeCell ref="B43:B44"/>
    <mergeCell ref="C43:C44"/>
    <mergeCell ref="D43:D44"/>
    <mergeCell ref="E43:E44"/>
    <mergeCell ref="F43:F44"/>
    <mergeCell ref="G41:G42"/>
    <mergeCell ref="M41:M42"/>
    <mergeCell ref="N41:N42"/>
    <mergeCell ref="O41:O42"/>
    <mergeCell ref="Q41:Q42"/>
    <mergeCell ref="R41:R42"/>
    <mergeCell ref="S39:S40"/>
    <mergeCell ref="T39:T40"/>
    <mergeCell ref="U39:U40"/>
    <mergeCell ref="V39:V40"/>
    <mergeCell ref="A41:A42"/>
    <mergeCell ref="B41:B42"/>
    <mergeCell ref="C41:C42"/>
    <mergeCell ref="D41:D42"/>
    <mergeCell ref="E41:E42"/>
    <mergeCell ref="F41:F42"/>
    <mergeCell ref="G39:G40"/>
    <mergeCell ref="M39:M40"/>
    <mergeCell ref="N39:N40"/>
    <mergeCell ref="O39:O40"/>
    <mergeCell ref="Q39:Q40"/>
    <mergeCell ref="R39:R40"/>
    <mergeCell ref="S45:S46"/>
    <mergeCell ref="T45:T46"/>
    <mergeCell ref="U45:U46"/>
    <mergeCell ref="V45:V46"/>
    <mergeCell ref="A47:A48"/>
    <mergeCell ref="B47:B48"/>
    <mergeCell ref="C47:C48"/>
    <mergeCell ref="D47:D48"/>
    <mergeCell ref="E47:E48"/>
    <mergeCell ref="F47:F48"/>
    <mergeCell ref="G45:G46"/>
    <mergeCell ref="M45:M46"/>
    <mergeCell ref="N45:N46"/>
    <mergeCell ref="O45:O46"/>
    <mergeCell ref="Q45:Q46"/>
    <mergeCell ref="R45:R46"/>
    <mergeCell ref="S43:S44"/>
    <mergeCell ref="T43:T44"/>
    <mergeCell ref="U43:U44"/>
    <mergeCell ref="V43:V44"/>
    <mergeCell ref="A45:A46"/>
    <mergeCell ref="B45:B46"/>
    <mergeCell ref="C45:C46"/>
    <mergeCell ref="D45:D46"/>
    <mergeCell ref="E45:E46"/>
    <mergeCell ref="F45:F46"/>
    <mergeCell ref="G43:G44"/>
    <mergeCell ref="M43:M44"/>
    <mergeCell ref="N43:N44"/>
    <mergeCell ref="O43:O44"/>
    <mergeCell ref="Q43:Q44"/>
    <mergeCell ref="R43:R44"/>
    <mergeCell ref="S49:S50"/>
    <mergeCell ref="T49:T50"/>
    <mergeCell ref="U49:U50"/>
    <mergeCell ref="V49:V50"/>
    <mergeCell ref="A51:A52"/>
    <mergeCell ref="B51:B52"/>
    <mergeCell ref="C51:C52"/>
    <mergeCell ref="D51:D52"/>
    <mergeCell ref="E51:E52"/>
    <mergeCell ref="F51:F52"/>
    <mergeCell ref="G49:G50"/>
    <mergeCell ref="M49:M50"/>
    <mergeCell ref="N49:N50"/>
    <mergeCell ref="O49:O50"/>
    <mergeCell ref="Q49:Q50"/>
    <mergeCell ref="R49:R50"/>
    <mergeCell ref="S47:S48"/>
    <mergeCell ref="T47:T48"/>
    <mergeCell ref="U47:U48"/>
    <mergeCell ref="V47:V48"/>
    <mergeCell ref="A49:A50"/>
    <mergeCell ref="B49:B50"/>
    <mergeCell ref="C49:C50"/>
    <mergeCell ref="D49:D50"/>
    <mergeCell ref="E49:E50"/>
    <mergeCell ref="F49:F50"/>
    <mergeCell ref="G47:G48"/>
    <mergeCell ref="M47:M48"/>
    <mergeCell ref="N47:N48"/>
    <mergeCell ref="O47:O48"/>
    <mergeCell ref="Q47:Q48"/>
    <mergeCell ref="R47:R48"/>
    <mergeCell ref="S53:S54"/>
    <mergeCell ref="T53:T54"/>
    <mergeCell ref="U53:U54"/>
    <mergeCell ref="V53:V54"/>
    <mergeCell ref="A55:A56"/>
    <mergeCell ref="B55:B56"/>
    <mergeCell ref="C55:C56"/>
    <mergeCell ref="D55:D56"/>
    <mergeCell ref="E55:E56"/>
    <mergeCell ref="F55:F56"/>
    <mergeCell ref="G53:G54"/>
    <mergeCell ref="M53:M54"/>
    <mergeCell ref="N53:N54"/>
    <mergeCell ref="O53:O54"/>
    <mergeCell ref="Q53:Q54"/>
    <mergeCell ref="R53:R54"/>
    <mergeCell ref="S51:S52"/>
    <mergeCell ref="T51:T52"/>
    <mergeCell ref="U51:U52"/>
    <mergeCell ref="V51:V52"/>
    <mergeCell ref="A53:A54"/>
    <mergeCell ref="B53:B54"/>
    <mergeCell ref="C53:C54"/>
    <mergeCell ref="D53:D54"/>
    <mergeCell ref="E53:E54"/>
    <mergeCell ref="F53:F54"/>
    <mergeCell ref="G51:G52"/>
    <mergeCell ref="M51:M52"/>
    <mergeCell ref="N51:N52"/>
    <mergeCell ref="O51:O52"/>
    <mergeCell ref="Q51:Q52"/>
    <mergeCell ref="R51:R52"/>
    <mergeCell ref="S57:S58"/>
    <mergeCell ref="T57:T58"/>
    <mergeCell ref="U57:U58"/>
    <mergeCell ref="V57:V58"/>
    <mergeCell ref="A59:A60"/>
    <mergeCell ref="B59:B60"/>
    <mergeCell ref="C59:C60"/>
    <mergeCell ref="D59:D60"/>
    <mergeCell ref="E59:E60"/>
    <mergeCell ref="F59:F60"/>
    <mergeCell ref="G57:G58"/>
    <mergeCell ref="M57:M58"/>
    <mergeCell ref="N57:N58"/>
    <mergeCell ref="O57:O58"/>
    <mergeCell ref="Q57:Q58"/>
    <mergeCell ref="R57:R58"/>
    <mergeCell ref="S55:S56"/>
    <mergeCell ref="T55:T56"/>
    <mergeCell ref="U55:U56"/>
    <mergeCell ref="V55:V56"/>
    <mergeCell ref="A57:A58"/>
    <mergeCell ref="B57:B58"/>
    <mergeCell ref="C57:C58"/>
    <mergeCell ref="D57:D58"/>
    <mergeCell ref="E57:E58"/>
    <mergeCell ref="F57:F58"/>
    <mergeCell ref="G55:G56"/>
    <mergeCell ref="M55:M56"/>
    <mergeCell ref="N55:N56"/>
    <mergeCell ref="O55:O56"/>
    <mergeCell ref="Q55:Q56"/>
    <mergeCell ref="R55:R56"/>
    <mergeCell ref="S61:S62"/>
    <mergeCell ref="T61:T62"/>
    <mergeCell ref="U61:U62"/>
    <mergeCell ref="V61:V62"/>
    <mergeCell ref="A63:A64"/>
    <mergeCell ref="B63:B64"/>
    <mergeCell ref="C63:C64"/>
    <mergeCell ref="D63:D64"/>
    <mergeCell ref="E63:E64"/>
    <mergeCell ref="F63:F64"/>
    <mergeCell ref="G61:G62"/>
    <mergeCell ref="M61:M62"/>
    <mergeCell ref="N61:N62"/>
    <mergeCell ref="O61:O62"/>
    <mergeCell ref="Q61:Q62"/>
    <mergeCell ref="R61:R62"/>
    <mergeCell ref="S59:S60"/>
    <mergeCell ref="T59:T60"/>
    <mergeCell ref="U59:U60"/>
    <mergeCell ref="V59:V60"/>
    <mergeCell ref="A61:A62"/>
    <mergeCell ref="B61:B62"/>
    <mergeCell ref="C61:C62"/>
    <mergeCell ref="D61:D62"/>
    <mergeCell ref="E61:E62"/>
    <mergeCell ref="F61:F62"/>
    <mergeCell ref="G59:G60"/>
    <mergeCell ref="M59:M60"/>
    <mergeCell ref="N59:N60"/>
    <mergeCell ref="O59:O60"/>
    <mergeCell ref="Q59:Q60"/>
    <mergeCell ref="R59:R60"/>
    <mergeCell ref="S65:S66"/>
    <mergeCell ref="T65:T66"/>
    <mergeCell ref="U65:U66"/>
    <mergeCell ref="V65:V66"/>
    <mergeCell ref="A67:A68"/>
    <mergeCell ref="B67:B68"/>
    <mergeCell ref="C67:C68"/>
    <mergeCell ref="D67:D68"/>
    <mergeCell ref="E67:E68"/>
    <mergeCell ref="F67:F68"/>
    <mergeCell ref="G65:G66"/>
    <mergeCell ref="M65:M66"/>
    <mergeCell ref="N65:N66"/>
    <mergeCell ref="O65:O66"/>
    <mergeCell ref="Q65:Q66"/>
    <mergeCell ref="R65:R66"/>
    <mergeCell ref="S63:S64"/>
    <mergeCell ref="T63:T64"/>
    <mergeCell ref="U63:U64"/>
    <mergeCell ref="V63:V64"/>
    <mergeCell ref="A65:A66"/>
    <mergeCell ref="B65:B66"/>
    <mergeCell ref="C65:C66"/>
    <mergeCell ref="D65:D66"/>
    <mergeCell ref="E65:E66"/>
    <mergeCell ref="F65:F66"/>
    <mergeCell ref="G63:G64"/>
    <mergeCell ref="M63:M64"/>
    <mergeCell ref="N63:N64"/>
    <mergeCell ref="O63:O64"/>
    <mergeCell ref="Q63:Q64"/>
    <mergeCell ref="R63:R64"/>
    <mergeCell ref="S69:S70"/>
    <mergeCell ref="T69:T70"/>
    <mergeCell ref="U69:U70"/>
    <mergeCell ref="V69:V70"/>
    <mergeCell ref="A71:A72"/>
    <mergeCell ref="B71:B72"/>
    <mergeCell ref="C71:C72"/>
    <mergeCell ref="D71:D72"/>
    <mergeCell ref="E71:E72"/>
    <mergeCell ref="F71:F72"/>
    <mergeCell ref="G69:G70"/>
    <mergeCell ref="M69:M70"/>
    <mergeCell ref="N69:N70"/>
    <mergeCell ref="O69:O70"/>
    <mergeCell ref="Q69:Q70"/>
    <mergeCell ref="R69:R70"/>
    <mergeCell ref="S67:S68"/>
    <mergeCell ref="T67:T68"/>
    <mergeCell ref="U67:U68"/>
    <mergeCell ref="V67:V68"/>
    <mergeCell ref="A69:A70"/>
    <mergeCell ref="B69:B70"/>
    <mergeCell ref="C69:C70"/>
    <mergeCell ref="D69:D70"/>
    <mergeCell ref="E69:E70"/>
    <mergeCell ref="F69:F70"/>
    <mergeCell ref="G67:G68"/>
    <mergeCell ref="M67:M68"/>
    <mergeCell ref="N67:N68"/>
    <mergeCell ref="O67:O68"/>
    <mergeCell ref="Q67:Q68"/>
    <mergeCell ref="R67:R68"/>
    <mergeCell ref="S73:S74"/>
    <mergeCell ref="T73:T74"/>
    <mergeCell ref="U73:U74"/>
    <mergeCell ref="V73:V74"/>
    <mergeCell ref="A75:A76"/>
    <mergeCell ref="B75:B76"/>
    <mergeCell ref="C75:C76"/>
    <mergeCell ref="D75:D76"/>
    <mergeCell ref="E75:E76"/>
    <mergeCell ref="F75:F76"/>
    <mergeCell ref="G73:G74"/>
    <mergeCell ref="M73:M74"/>
    <mergeCell ref="N73:N74"/>
    <mergeCell ref="O73:O74"/>
    <mergeCell ref="Q73:Q74"/>
    <mergeCell ref="R73:R74"/>
    <mergeCell ref="S71:S72"/>
    <mergeCell ref="T71:T72"/>
    <mergeCell ref="U71:U72"/>
    <mergeCell ref="V71:V72"/>
    <mergeCell ref="A73:A74"/>
    <mergeCell ref="B73:B74"/>
    <mergeCell ref="C73:C74"/>
    <mergeCell ref="D73:D74"/>
    <mergeCell ref="E73:E74"/>
    <mergeCell ref="F73:F74"/>
    <mergeCell ref="G71:G72"/>
    <mergeCell ref="M71:M72"/>
    <mergeCell ref="N71:N72"/>
    <mergeCell ref="O71:O72"/>
    <mergeCell ref="Q71:Q72"/>
    <mergeCell ref="R71:R72"/>
    <mergeCell ref="S77:S78"/>
    <mergeCell ref="T77:T78"/>
    <mergeCell ref="U77:U78"/>
    <mergeCell ref="V77:V78"/>
    <mergeCell ref="A79:A80"/>
    <mergeCell ref="B79:B80"/>
    <mergeCell ref="C79:C80"/>
    <mergeCell ref="D79:D80"/>
    <mergeCell ref="E79:E80"/>
    <mergeCell ref="F79:F80"/>
    <mergeCell ref="G77:G78"/>
    <mergeCell ref="M77:M78"/>
    <mergeCell ref="N77:N78"/>
    <mergeCell ref="O77:O78"/>
    <mergeCell ref="Q77:Q78"/>
    <mergeCell ref="R77:R78"/>
    <mergeCell ref="S75:S76"/>
    <mergeCell ref="T75:T76"/>
    <mergeCell ref="U75:U76"/>
    <mergeCell ref="V75:V76"/>
    <mergeCell ref="A77:A78"/>
    <mergeCell ref="B77:B78"/>
    <mergeCell ref="C77:C78"/>
    <mergeCell ref="D77:D78"/>
    <mergeCell ref="E77:E78"/>
    <mergeCell ref="F77:F78"/>
    <mergeCell ref="G75:G76"/>
    <mergeCell ref="M75:M76"/>
    <mergeCell ref="N75:N76"/>
    <mergeCell ref="O75:O76"/>
    <mergeCell ref="Q75:Q76"/>
    <mergeCell ref="R75:R76"/>
    <mergeCell ref="S81:S82"/>
    <mergeCell ref="T81:T82"/>
    <mergeCell ref="U81:U82"/>
    <mergeCell ref="V81:V82"/>
    <mergeCell ref="A83:A84"/>
    <mergeCell ref="B83:B84"/>
    <mergeCell ref="C83:C84"/>
    <mergeCell ref="D83:D84"/>
    <mergeCell ref="E83:E84"/>
    <mergeCell ref="F83:F84"/>
    <mergeCell ref="G81:G82"/>
    <mergeCell ref="M81:M82"/>
    <mergeCell ref="N81:N82"/>
    <mergeCell ref="O81:O82"/>
    <mergeCell ref="Q81:Q82"/>
    <mergeCell ref="R81:R82"/>
    <mergeCell ref="S79:S80"/>
    <mergeCell ref="T79:T80"/>
    <mergeCell ref="U79:U80"/>
    <mergeCell ref="V79:V80"/>
    <mergeCell ref="A81:A82"/>
    <mergeCell ref="B81:B82"/>
    <mergeCell ref="C81:C82"/>
    <mergeCell ref="D81:D82"/>
    <mergeCell ref="E81:E82"/>
    <mergeCell ref="F81:F82"/>
    <mergeCell ref="G79:G80"/>
    <mergeCell ref="M79:M80"/>
    <mergeCell ref="N79:N80"/>
    <mergeCell ref="O79:O80"/>
    <mergeCell ref="Q79:Q80"/>
    <mergeCell ref="R79:R80"/>
    <mergeCell ref="S85:S86"/>
    <mergeCell ref="T85:T86"/>
    <mergeCell ref="U85:U86"/>
    <mergeCell ref="V85:V86"/>
    <mergeCell ref="A87:A88"/>
    <mergeCell ref="B87:B88"/>
    <mergeCell ref="C87:C88"/>
    <mergeCell ref="D87:D88"/>
    <mergeCell ref="E87:E88"/>
    <mergeCell ref="F87:F88"/>
    <mergeCell ref="G85:G86"/>
    <mergeCell ref="M85:M86"/>
    <mergeCell ref="N85:N86"/>
    <mergeCell ref="O85:O86"/>
    <mergeCell ref="Q85:Q86"/>
    <mergeCell ref="R85:R86"/>
    <mergeCell ref="S83:S84"/>
    <mergeCell ref="T83:T84"/>
    <mergeCell ref="U83:U84"/>
    <mergeCell ref="V83:V84"/>
    <mergeCell ref="A85:A86"/>
    <mergeCell ref="B85:B86"/>
    <mergeCell ref="C85:C86"/>
    <mergeCell ref="D85:D86"/>
    <mergeCell ref="E85:E86"/>
    <mergeCell ref="F85:F86"/>
    <mergeCell ref="G83:G84"/>
    <mergeCell ref="M83:M84"/>
    <mergeCell ref="N83:N84"/>
    <mergeCell ref="O83:O84"/>
    <mergeCell ref="Q83:Q84"/>
    <mergeCell ref="R83:R84"/>
    <mergeCell ref="S89:S90"/>
    <mergeCell ref="T89:T90"/>
    <mergeCell ref="U89:U90"/>
    <mergeCell ref="V89:V90"/>
    <mergeCell ref="A91:A92"/>
    <mergeCell ref="B91:B92"/>
    <mergeCell ref="C91:C92"/>
    <mergeCell ref="D91:D92"/>
    <mergeCell ref="E91:E92"/>
    <mergeCell ref="F91:F92"/>
    <mergeCell ref="G89:G90"/>
    <mergeCell ref="M89:M90"/>
    <mergeCell ref="N89:N90"/>
    <mergeCell ref="O89:O90"/>
    <mergeCell ref="Q89:Q90"/>
    <mergeCell ref="R89:R90"/>
    <mergeCell ref="S87:S88"/>
    <mergeCell ref="T87:T88"/>
    <mergeCell ref="U87:U88"/>
    <mergeCell ref="V87:V88"/>
    <mergeCell ref="A89:A90"/>
    <mergeCell ref="B89:B90"/>
    <mergeCell ref="C89:C90"/>
    <mergeCell ref="D89:D90"/>
    <mergeCell ref="E89:E90"/>
    <mergeCell ref="F89:F90"/>
    <mergeCell ref="G87:G88"/>
    <mergeCell ref="M87:M88"/>
    <mergeCell ref="N87:N88"/>
    <mergeCell ref="O87:O88"/>
    <mergeCell ref="Q87:Q88"/>
    <mergeCell ref="R87:R88"/>
    <mergeCell ref="S93:S94"/>
    <mergeCell ref="T93:T94"/>
    <mergeCell ref="U93:U94"/>
    <mergeCell ref="V93:V94"/>
    <mergeCell ref="A95:A96"/>
    <mergeCell ref="B95:B96"/>
    <mergeCell ref="C95:C96"/>
    <mergeCell ref="D95:D96"/>
    <mergeCell ref="E95:E96"/>
    <mergeCell ref="F95:F96"/>
    <mergeCell ref="G93:G94"/>
    <mergeCell ref="M93:M94"/>
    <mergeCell ref="N93:N94"/>
    <mergeCell ref="O93:O94"/>
    <mergeCell ref="Q93:Q94"/>
    <mergeCell ref="R93:R94"/>
    <mergeCell ref="S91:S92"/>
    <mergeCell ref="T91:T92"/>
    <mergeCell ref="U91:U92"/>
    <mergeCell ref="V91:V92"/>
    <mergeCell ref="A93:A94"/>
    <mergeCell ref="B93:B94"/>
    <mergeCell ref="C93:C94"/>
    <mergeCell ref="D93:D94"/>
    <mergeCell ref="E93:E94"/>
    <mergeCell ref="F93:F94"/>
    <mergeCell ref="G91:G92"/>
    <mergeCell ref="M91:M92"/>
    <mergeCell ref="N91:N92"/>
    <mergeCell ref="O91:O92"/>
    <mergeCell ref="Q91:Q92"/>
    <mergeCell ref="R91:R92"/>
    <mergeCell ref="S97:S98"/>
    <mergeCell ref="T97:T98"/>
    <mergeCell ref="U97:U98"/>
    <mergeCell ref="V97:V98"/>
    <mergeCell ref="A99:A100"/>
    <mergeCell ref="B99:B100"/>
    <mergeCell ref="C99:C100"/>
    <mergeCell ref="D99:D100"/>
    <mergeCell ref="E99:E100"/>
    <mergeCell ref="F99:F100"/>
    <mergeCell ref="G97:G98"/>
    <mergeCell ref="M97:M98"/>
    <mergeCell ref="N97:N98"/>
    <mergeCell ref="O97:O98"/>
    <mergeCell ref="Q97:Q98"/>
    <mergeCell ref="R97:R98"/>
    <mergeCell ref="S95:S96"/>
    <mergeCell ref="T95:T96"/>
    <mergeCell ref="U95:U96"/>
    <mergeCell ref="V95:V96"/>
    <mergeCell ref="A97:A98"/>
    <mergeCell ref="B97:B98"/>
    <mergeCell ref="C97:C98"/>
    <mergeCell ref="D97:D98"/>
    <mergeCell ref="E97:E98"/>
    <mergeCell ref="F97:F98"/>
    <mergeCell ref="G95:G96"/>
    <mergeCell ref="M95:M96"/>
    <mergeCell ref="N95:N96"/>
    <mergeCell ref="O95:O96"/>
    <mergeCell ref="Q95:Q96"/>
    <mergeCell ref="R95:R96"/>
    <mergeCell ref="S101:S102"/>
    <mergeCell ref="T101:T102"/>
    <mergeCell ref="U101:U102"/>
    <mergeCell ref="V101:V102"/>
    <mergeCell ref="A103:A104"/>
    <mergeCell ref="B103:B104"/>
    <mergeCell ref="C103:C104"/>
    <mergeCell ref="D103:D104"/>
    <mergeCell ref="E103:E104"/>
    <mergeCell ref="F103:F104"/>
    <mergeCell ref="G101:G102"/>
    <mergeCell ref="M101:M102"/>
    <mergeCell ref="N101:N102"/>
    <mergeCell ref="O101:O102"/>
    <mergeCell ref="Q101:Q102"/>
    <mergeCell ref="R101:R102"/>
    <mergeCell ref="S99:S100"/>
    <mergeCell ref="T99:T100"/>
    <mergeCell ref="U99:U100"/>
    <mergeCell ref="V99:V100"/>
    <mergeCell ref="A101:A102"/>
    <mergeCell ref="B101:B102"/>
    <mergeCell ref="C101:C102"/>
    <mergeCell ref="D101:D102"/>
    <mergeCell ref="E101:E102"/>
    <mergeCell ref="F101:F102"/>
    <mergeCell ref="G99:G100"/>
    <mergeCell ref="M99:M100"/>
    <mergeCell ref="N99:N100"/>
    <mergeCell ref="O99:O100"/>
    <mergeCell ref="Q99:Q100"/>
    <mergeCell ref="R99:R100"/>
    <mergeCell ref="S105:S106"/>
    <mergeCell ref="T105:T106"/>
    <mergeCell ref="U105:U106"/>
    <mergeCell ref="V105:V106"/>
    <mergeCell ref="A107:A108"/>
    <mergeCell ref="B107:B108"/>
    <mergeCell ref="C107:C108"/>
    <mergeCell ref="D107:D108"/>
    <mergeCell ref="E107:E108"/>
    <mergeCell ref="F107:F108"/>
    <mergeCell ref="G105:G106"/>
    <mergeCell ref="M105:M106"/>
    <mergeCell ref="N105:N106"/>
    <mergeCell ref="O105:O106"/>
    <mergeCell ref="Q105:Q106"/>
    <mergeCell ref="R105:R106"/>
    <mergeCell ref="S103:S104"/>
    <mergeCell ref="T103:T104"/>
    <mergeCell ref="U103:U104"/>
    <mergeCell ref="V103:V104"/>
    <mergeCell ref="A105:A106"/>
    <mergeCell ref="B105:B106"/>
    <mergeCell ref="C105:C106"/>
    <mergeCell ref="D105:D106"/>
    <mergeCell ref="E105:E106"/>
    <mergeCell ref="F105:F106"/>
    <mergeCell ref="G103:G104"/>
    <mergeCell ref="M103:M104"/>
    <mergeCell ref="N103:N104"/>
    <mergeCell ref="O103:O104"/>
    <mergeCell ref="Q103:Q104"/>
    <mergeCell ref="R103:R104"/>
    <mergeCell ref="S109:S110"/>
    <mergeCell ref="T109:T110"/>
    <mergeCell ref="U109:U110"/>
    <mergeCell ref="V109:V110"/>
    <mergeCell ref="A111:A112"/>
    <mergeCell ref="B111:B112"/>
    <mergeCell ref="C111:C112"/>
    <mergeCell ref="D111:D112"/>
    <mergeCell ref="E111:E112"/>
    <mergeCell ref="F111:F112"/>
    <mergeCell ref="G109:G110"/>
    <mergeCell ref="M109:M110"/>
    <mergeCell ref="N109:N110"/>
    <mergeCell ref="O109:O110"/>
    <mergeCell ref="Q109:Q110"/>
    <mergeCell ref="R109:R110"/>
    <mergeCell ref="S107:S108"/>
    <mergeCell ref="T107:T108"/>
    <mergeCell ref="U107:U108"/>
    <mergeCell ref="V107:V108"/>
    <mergeCell ref="A109:A110"/>
    <mergeCell ref="B109:B110"/>
    <mergeCell ref="C109:C110"/>
    <mergeCell ref="D109:D110"/>
    <mergeCell ref="E109:E110"/>
    <mergeCell ref="F109:F110"/>
    <mergeCell ref="G107:G108"/>
    <mergeCell ref="M107:M108"/>
    <mergeCell ref="N107:N108"/>
    <mergeCell ref="O107:O108"/>
    <mergeCell ref="Q107:Q108"/>
    <mergeCell ref="R107:R108"/>
    <mergeCell ref="S113:S114"/>
    <mergeCell ref="T113:T114"/>
    <mergeCell ref="U113:U114"/>
    <mergeCell ref="V113:V114"/>
    <mergeCell ref="A115:A116"/>
    <mergeCell ref="B115:B116"/>
    <mergeCell ref="C115:C116"/>
    <mergeCell ref="D115:D116"/>
    <mergeCell ref="E115:E116"/>
    <mergeCell ref="F115:F116"/>
    <mergeCell ref="G113:G114"/>
    <mergeCell ref="M113:M114"/>
    <mergeCell ref="N113:N114"/>
    <mergeCell ref="O113:O114"/>
    <mergeCell ref="Q113:Q114"/>
    <mergeCell ref="R113:R114"/>
    <mergeCell ref="S111:S112"/>
    <mergeCell ref="T111:T112"/>
    <mergeCell ref="U111:U112"/>
    <mergeCell ref="V111:V112"/>
    <mergeCell ref="A113:A114"/>
    <mergeCell ref="B113:B114"/>
    <mergeCell ref="C113:C114"/>
    <mergeCell ref="D113:D114"/>
    <mergeCell ref="E113:E114"/>
    <mergeCell ref="F113:F114"/>
    <mergeCell ref="G111:G112"/>
    <mergeCell ref="M111:M112"/>
    <mergeCell ref="N111:N112"/>
    <mergeCell ref="O111:O112"/>
    <mergeCell ref="Q111:Q112"/>
    <mergeCell ref="R111:R112"/>
    <mergeCell ref="S117:S118"/>
    <mergeCell ref="T117:T118"/>
    <mergeCell ref="U117:U118"/>
    <mergeCell ref="V117:V118"/>
    <mergeCell ref="A119:A120"/>
    <mergeCell ref="B119:B120"/>
    <mergeCell ref="C119:C120"/>
    <mergeCell ref="D119:D120"/>
    <mergeCell ref="E119:E120"/>
    <mergeCell ref="F119:F120"/>
    <mergeCell ref="G117:G118"/>
    <mergeCell ref="M117:M118"/>
    <mergeCell ref="N117:N118"/>
    <mergeCell ref="O117:O118"/>
    <mergeCell ref="Q117:Q118"/>
    <mergeCell ref="R117:R118"/>
    <mergeCell ref="S115:S116"/>
    <mergeCell ref="T115:T116"/>
    <mergeCell ref="U115:U116"/>
    <mergeCell ref="V115:V116"/>
    <mergeCell ref="A117:A118"/>
    <mergeCell ref="B117:B118"/>
    <mergeCell ref="C117:C118"/>
    <mergeCell ref="D117:D118"/>
    <mergeCell ref="E117:E118"/>
    <mergeCell ref="F117:F118"/>
    <mergeCell ref="G115:G116"/>
    <mergeCell ref="M115:M116"/>
    <mergeCell ref="N115:N116"/>
    <mergeCell ref="O115:O116"/>
    <mergeCell ref="Q115:Q116"/>
    <mergeCell ref="R115:R116"/>
    <mergeCell ref="S121:S122"/>
    <mergeCell ref="T121:T122"/>
    <mergeCell ref="U121:U122"/>
    <mergeCell ref="V121:V122"/>
    <mergeCell ref="A123:A124"/>
    <mergeCell ref="B123:B124"/>
    <mergeCell ref="C123:C124"/>
    <mergeCell ref="D123:D124"/>
    <mergeCell ref="E123:E124"/>
    <mergeCell ref="F123:F124"/>
    <mergeCell ref="G121:G122"/>
    <mergeCell ref="M121:M122"/>
    <mergeCell ref="N121:N122"/>
    <mergeCell ref="O121:O122"/>
    <mergeCell ref="Q121:Q122"/>
    <mergeCell ref="R121:R122"/>
    <mergeCell ref="S119:S120"/>
    <mergeCell ref="T119:T120"/>
    <mergeCell ref="U119:U120"/>
    <mergeCell ref="V119:V120"/>
    <mergeCell ref="A121:A122"/>
    <mergeCell ref="B121:B122"/>
    <mergeCell ref="C121:C122"/>
    <mergeCell ref="D121:D122"/>
    <mergeCell ref="E121:E122"/>
    <mergeCell ref="F121:F122"/>
    <mergeCell ref="G119:G120"/>
    <mergeCell ref="M119:M120"/>
    <mergeCell ref="N119:N120"/>
    <mergeCell ref="O119:O120"/>
    <mergeCell ref="Q119:Q120"/>
    <mergeCell ref="R119:R120"/>
    <mergeCell ref="S125:S126"/>
    <mergeCell ref="T125:T126"/>
    <mergeCell ref="U125:U126"/>
    <mergeCell ref="V125:V126"/>
    <mergeCell ref="A127:A128"/>
    <mergeCell ref="B127:B128"/>
    <mergeCell ref="C127:C128"/>
    <mergeCell ref="D127:D128"/>
    <mergeCell ref="E127:E128"/>
    <mergeCell ref="F127:F128"/>
    <mergeCell ref="G125:G126"/>
    <mergeCell ref="M125:M126"/>
    <mergeCell ref="N125:N126"/>
    <mergeCell ref="O125:O126"/>
    <mergeCell ref="Q125:Q126"/>
    <mergeCell ref="R125:R126"/>
    <mergeCell ref="S123:S124"/>
    <mergeCell ref="T123:T124"/>
    <mergeCell ref="U123:U124"/>
    <mergeCell ref="V123:V124"/>
    <mergeCell ref="A125:A126"/>
    <mergeCell ref="B125:B126"/>
    <mergeCell ref="C125:C126"/>
    <mergeCell ref="D125:D126"/>
    <mergeCell ref="E125:E126"/>
    <mergeCell ref="F125:F126"/>
    <mergeCell ref="G123:G124"/>
    <mergeCell ref="M123:M124"/>
    <mergeCell ref="N123:N124"/>
    <mergeCell ref="O123:O124"/>
    <mergeCell ref="Q123:Q124"/>
    <mergeCell ref="R123:R124"/>
    <mergeCell ref="S129:S130"/>
    <mergeCell ref="T129:T130"/>
    <mergeCell ref="U129:U130"/>
    <mergeCell ref="V129:V130"/>
    <mergeCell ref="A131:A132"/>
    <mergeCell ref="B131:B132"/>
    <mergeCell ref="C131:C132"/>
    <mergeCell ref="D131:D132"/>
    <mergeCell ref="E131:E132"/>
    <mergeCell ref="F131:F132"/>
    <mergeCell ref="G129:G130"/>
    <mergeCell ref="M129:M130"/>
    <mergeCell ref="N129:N130"/>
    <mergeCell ref="O129:O130"/>
    <mergeCell ref="Q129:Q130"/>
    <mergeCell ref="R129:R130"/>
    <mergeCell ref="S127:S128"/>
    <mergeCell ref="T127:T128"/>
    <mergeCell ref="U127:U128"/>
    <mergeCell ref="V127:V128"/>
    <mergeCell ref="A129:A130"/>
    <mergeCell ref="B129:B130"/>
    <mergeCell ref="C129:C130"/>
    <mergeCell ref="D129:D130"/>
    <mergeCell ref="E129:E130"/>
    <mergeCell ref="F129:F130"/>
    <mergeCell ref="G127:G128"/>
    <mergeCell ref="M127:M128"/>
    <mergeCell ref="N127:N128"/>
    <mergeCell ref="O127:O128"/>
    <mergeCell ref="Q127:Q128"/>
    <mergeCell ref="R127:R128"/>
    <mergeCell ref="S133:S134"/>
    <mergeCell ref="T133:T134"/>
    <mergeCell ref="U133:U134"/>
    <mergeCell ref="V133:V134"/>
    <mergeCell ref="A135:A136"/>
    <mergeCell ref="B135:B136"/>
    <mergeCell ref="C135:C136"/>
    <mergeCell ref="D135:D136"/>
    <mergeCell ref="E135:E136"/>
    <mergeCell ref="F135:F136"/>
    <mergeCell ref="G133:G134"/>
    <mergeCell ref="M133:M134"/>
    <mergeCell ref="N133:N134"/>
    <mergeCell ref="O133:O134"/>
    <mergeCell ref="Q133:Q134"/>
    <mergeCell ref="R133:R134"/>
    <mergeCell ref="S131:S132"/>
    <mergeCell ref="T131:T132"/>
    <mergeCell ref="U131:U132"/>
    <mergeCell ref="V131:V132"/>
    <mergeCell ref="A133:A134"/>
    <mergeCell ref="B133:B134"/>
    <mergeCell ref="C133:C134"/>
    <mergeCell ref="D133:D134"/>
    <mergeCell ref="E133:E134"/>
    <mergeCell ref="F133:F134"/>
    <mergeCell ref="G131:G132"/>
    <mergeCell ref="M131:M132"/>
    <mergeCell ref="N131:N132"/>
    <mergeCell ref="O131:O132"/>
    <mergeCell ref="Q131:Q132"/>
    <mergeCell ref="R131:R132"/>
    <mergeCell ref="S137:S138"/>
    <mergeCell ref="T137:T138"/>
    <mergeCell ref="U137:U138"/>
    <mergeCell ref="V137:V138"/>
    <mergeCell ref="A139:A140"/>
    <mergeCell ref="B139:B140"/>
    <mergeCell ref="C139:C140"/>
    <mergeCell ref="D139:D140"/>
    <mergeCell ref="E139:E140"/>
    <mergeCell ref="F139:F140"/>
    <mergeCell ref="G137:G138"/>
    <mergeCell ref="M137:M138"/>
    <mergeCell ref="N137:N138"/>
    <mergeCell ref="O137:O138"/>
    <mergeCell ref="Q137:Q138"/>
    <mergeCell ref="R137:R138"/>
    <mergeCell ref="S135:S136"/>
    <mergeCell ref="T135:T136"/>
    <mergeCell ref="U135:U136"/>
    <mergeCell ref="V135:V136"/>
    <mergeCell ref="A137:A138"/>
    <mergeCell ref="B137:B138"/>
    <mergeCell ref="C137:C138"/>
    <mergeCell ref="D137:D138"/>
    <mergeCell ref="E137:E138"/>
    <mergeCell ref="F137:F138"/>
    <mergeCell ref="G135:G136"/>
    <mergeCell ref="M135:M136"/>
    <mergeCell ref="N135:N136"/>
    <mergeCell ref="O135:O136"/>
    <mergeCell ref="Q135:Q136"/>
    <mergeCell ref="R135:R136"/>
    <mergeCell ref="S141:S142"/>
    <mergeCell ref="T141:T142"/>
    <mergeCell ref="U141:U142"/>
    <mergeCell ref="V141:V142"/>
    <mergeCell ref="A143:A144"/>
    <mergeCell ref="B143:B144"/>
    <mergeCell ref="C143:C144"/>
    <mergeCell ref="D143:D144"/>
    <mergeCell ref="E143:E144"/>
    <mergeCell ref="F143:F144"/>
    <mergeCell ref="G141:G142"/>
    <mergeCell ref="M141:M142"/>
    <mergeCell ref="N141:N142"/>
    <mergeCell ref="O141:O142"/>
    <mergeCell ref="Q141:Q142"/>
    <mergeCell ref="R141:R142"/>
    <mergeCell ref="S139:S140"/>
    <mergeCell ref="T139:T140"/>
    <mergeCell ref="U139:U140"/>
    <mergeCell ref="V139:V140"/>
    <mergeCell ref="A141:A142"/>
    <mergeCell ref="B141:B142"/>
    <mergeCell ref="C141:C142"/>
    <mergeCell ref="D141:D142"/>
    <mergeCell ref="E141:E142"/>
    <mergeCell ref="F141:F142"/>
    <mergeCell ref="G139:G140"/>
    <mergeCell ref="M139:M140"/>
    <mergeCell ref="N139:N140"/>
    <mergeCell ref="O139:O140"/>
    <mergeCell ref="V145:V146"/>
    <mergeCell ref="A147:A148"/>
    <mergeCell ref="B147:B148"/>
    <mergeCell ref="C147:C148"/>
    <mergeCell ref="D147:D148"/>
    <mergeCell ref="E147:E148"/>
    <mergeCell ref="F147:F148"/>
    <mergeCell ref="G145:G146"/>
    <mergeCell ref="M145:M146"/>
    <mergeCell ref="N145:N146"/>
    <mergeCell ref="O145:O146"/>
    <mergeCell ref="Q145:Q146"/>
    <mergeCell ref="R145:R146"/>
    <mergeCell ref="S143:S144"/>
    <mergeCell ref="T143:T144"/>
    <mergeCell ref="U143:U144"/>
    <mergeCell ref="V143:V144"/>
    <mergeCell ref="A145:A146"/>
    <mergeCell ref="B145:B146"/>
    <mergeCell ref="C145:C146"/>
    <mergeCell ref="D145:D146"/>
    <mergeCell ref="E145:E146"/>
    <mergeCell ref="F145:F146"/>
    <mergeCell ref="G143:G144"/>
    <mergeCell ref="M143:M144"/>
    <mergeCell ref="N143:N144"/>
    <mergeCell ref="O143:O144"/>
    <mergeCell ref="F149:F150"/>
    <mergeCell ref="G147:G148"/>
    <mergeCell ref="M147:M148"/>
    <mergeCell ref="N147:N148"/>
    <mergeCell ref="O147:O148"/>
    <mergeCell ref="Q151:Q152"/>
    <mergeCell ref="R151:R152"/>
    <mergeCell ref="Q147:Q148"/>
    <mergeCell ref="R147:R148"/>
    <mergeCell ref="S151:S152"/>
    <mergeCell ref="T151:T152"/>
    <mergeCell ref="Q139:Q140"/>
    <mergeCell ref="R139:R140"/>
    <mergeCell ref="S145:S146"/>
    <mergeCell ref="T145:T146"/>
    <mergeCell ref="U145:U146"/>
    <mergeCell ref="U151:U152"/>
    <mergeCell ref="V151:V152"/>
    <mergeCell ref="G151:G152"/>
    <mergeCell ref="M151:M152"/>
    <mergeCell ref="N151:N152"/>
    <mergeCell ref="O151:O152"/>
    <mergeCell ref="Q143:Q144"/>
    <mergeCell ref="R143:R144"/>
    <mergeCell ref="S149:S150"/>
    <mergeCell ref="T149:T150"/>
    <mergeCell ref="U149:U150"/>
    <mergeCell ref="V149:V150"/>
    <mergeCell ref="A151:A152"/>
    <mergeCell ref="B151:B152"/>
    <mergeCell ref="C151:C152"/>
    <mergeCell ref="D151:D152"/>
    <mergeCell ref="E151:E152"/>
    <mergeCell ref="F151:F152"/>
    <mergeCell ref="G149:G150"/>
    <mergeCell ref="M149:M150"/>
    <mergeCell ref="N149:N150"/>
    <mergeCell ref="O149:O150"/>
    <mergeCell ref="Q149:Q150"/>
    <mergeCell ref="R149:R150"/>
    <mergeCell ref="S147:S148"/>
    <mergeCell ref="T147:T148"/>
    <mergeCell ref="U147:U148"/>
    <mergeCell ref="V147:V148"/>
    <mergeCell ref="A149:A150"/>
    <mergeCell ref="B149:B150"/>
    <mergeCell ref="C149:C150"/>
    <mergeCell ref="D149:D150"/>
    <mergeCell ref="E149:E150"/>
  </mergeCells>
  <pageMargins left="0.7" right="0.7" top="0.75" bottom="0.75" header="0.3" footer="0.3"/>
  <pageSetup paperSize="9" orientation="portrait" horizontalDpi="300" verticalDpi="30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7745f328-ce30-4dfa-99e5-0d60fe876ac1">
      <UserInfo>
        <DisplayName>Elkin Antonio Zuleta Montoya</DisplayName>
        <AccountId>25</AccountId>
        <AccountType/>
      </UserInfo>
    </SharedWithUsers>
    <_ip_UnifiedCompliancePolicyUIAction xmlns="http://schemas.microsoft.com/sharepoint/v3" xsi:nil="true"/>
    <_ip_UnifiedCompliancePolicyProperties xmlns="http://schemas.microsoft.com/sharepoint/v3" xsi:nil="true"/>
    <_activity xmlns="dcd6d6d9-f942-4cf3-a5b7-07649588b85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C968FE0DC13954DA5A0FBD1AD794EF2" ma:contentTypeVersion="20" ma:contentTypeDescription="Create a new document." ma:contentTypeScope="" ma:versionID="1befc081318a934cf409d13c63dd8887">
  <xsd:schema xmlns:xsd="http://www.w3.org/2001/XMLSchema" xmlns:xs="http://www.w3.org/2001/XMLSchema" xmlns:p="http://schemas.microsoft.com/office/2006/metadata/properties" xmlns:ns1="http://schemas.microsoft.com/sharepoint/v3" xmlns:ns3="dcd6d6d9-f942-4cf3-a5b7-07649588b857" xmlns:ns4="7745f328-ce30-4dfa-99e5-0d60fe876ac1" targetNamespace="http://schemas.microsoft.com/office/2006/metadata/properties" ma:root="true" ma:fieldsID="8c6524e188340d734454a47af39aa606" ns1:_="" ns3:_="" ns4:_="">
    <xsd:import namespace="http://schemas.microsoft.com/sharepoint/v3"/>
    <xsd:import namespace="dcd6d6d9-f942-4cf3-a5b7-07649588b857"/>
    <xsd:import namespace="7745f328-ce30-4dfa-99e5-0d60fe876ac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_activity"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d6d6d9-f942-4cf3-a5b7-07649588b8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SystemTags" ma:index="27"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745f328-ce30-4dfa-99e5-0d60fe876ac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A14235-3B2C-4567-826F-05787F2707A6}">
  <ds:schemaRefs>
    <ds:schemaRef ds:uri="http://schemas.microsoft.com/sharepoint/v3/contenttype/forms"/>
  </ds:schemaRefs>
</ds:datastoreItem>
</file>

<file path=customXml/itemProps2.xml><?xml version="1.0" encoding="utf-8"?>
<ds:datastoreItem xmlns:ds="http://schemas.openxmlformats.org/officeDocument/2006/customXml" ds:itemID="{C0B80087-A753-48A1-959E-CC7C21328C15}">
  <ds:schemaRefs>
    <ds:schemaRef ds:uri="http://schemas.microsoft.com/office/2006/metadata/properties"/>
    <ds:schemaRef ds:uri="http://schemas.microsoft.com/office/infopath/2007/PartnerControls"/>
    <ds:schemaRef ds:uri="7745f328-ce30-4dfa-99e5-0d60fe876ac1"/>
    <ds:schemaRef ds:uri="http://schemas.microsoft.com/sharepoint/v3"/>
    <ds:schemaRef ds:uri="dcd6d6d9-f942-4cf3-a5b7-07649588b857"/>
  </ds:schemaRefs>
</ds:datastoreItem>
</file>

<file path=customXml/itemProps3.xml><?xml version="1.0" encoding="utf-8"?>
<ds:datastoreItem xmlns:ds="http://schemas.openxmlformats.org/officeDocument/2006/customXml" ds:itemID="{AF5433A4-F585-4065-ADFC-37617096EA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cd6d6d9-f942-4cf3-a5b7-07649588b857"/>
    <ds:schemaRef ds:uri="7745f328-ce30-4dfa-99e5-0d60fe876a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3</vt:i4>
      </vt:variant>
    </vt:vector>
  </HeadingPairs>
  <TitlesOfParts>
    <vt:vector size="13" baseType="lpstr">
      <vt:lpstr>Lote 1 Peletería</vt:lpstr>
      <vt:lpstr>Lote 2 Ambiental</vt:lpstr>
      <vt:lpstr>Lote 3 SST</vt:lpstr>
      <vt:lpstr>Lote 4 Papeleria-log</vt:lpstr>
      <vt:lpstr>Lote 5 Servicios Tecno</vt:lpstr>
      <vt:lpstr>Lote 6 Fablab</vt:lpstr>
      <vt:lpstr>Lote 7 Deporte</vt:lpstr>
      <vt:lpstr>Lote 8 Sistemas</vt:lpstr>
      <vt:lpstr>Lote 9 Madera</vt:lpstr>
      <vt:lpstr>Lote 10 Agroindustria</vt:lpstr>
      <vt:lpstr>a</vt:lpstr>
      <vt:lpstr>'Lote 6 Fablab'!Área_de_impresión</vt:lpstr>
      <vt:lpstr>'Lote 9 Madera'!Área_de_impresión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lacpaservicios</dc:creator>
  <cp:keywords/>
  <dc:description/>
  <cp:lastModifiedBy>Yuliani Carolina Delgado Zapata</cp:lastModifiedBy>
  <cp:revision/>
  <dcterms:created xsi:type="dcterms:W3CDTF">2021-02-26T19:30:04Z</dcterms:created>
  <dcterms:modified xsi:type="dcterms:W3CDTF">2026-06-25T20:37:44Z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0x010100BC968FE0DC13954DA5A0FBD1AD794EF2</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2026-04-10T16:31:32Z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d8f643e8-038f-4a5e-9b50-02a3e350d2f3</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