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OPERADOR LOGISTICO\PUBLICAR\"/>
    </mc:Choice>
  </mc:AlternateContent>
  <xr:revisionPtr revIDLastSave="0" documentId="8_{F78FDFFA-9AC4-4A08-B984-BD3E41584565}" xr6:coauthVersionLast="47" xr6:coauthVersionMax="47" xr10:uidLastSave="{00000000-0000-0000-0000-000000000000}"/>
  <bookViews>
    <workbookView xWindow="-110" yWindow="-110" windowWidth="19420" windowHeight="10300" tabRatio="705" activeTab="2" xr2:uid="{00000000-000D-0000-FFFF-FFFF00000000}"/>
  </bookViews>
  <sheets>
    <sheet name="FM-029 INICIAL" sheetId="93" r:id="rId1"/>
    <sheet name="FM-029 DEPURADA" sheetId="96" r:id="rId2"/>
    <sheet name="PRECIOS TECHO " sheetId="99" r:id="rId3"/>
    <sheet name="MATRIZ UAERMV OTRAS VIGENCIAS" sheetId="5" state="hidden" r:id="rId4"/>
  </sheets>
  <externalReferences>
    <externalReference r:id="rId5"/>
    <externalReference r:id="rId6"/>
    <externalReference r:id="rId7"/>
  </externalReferences>
  <definedNames>
    <definedName name="_xlnm._FilterDatabase" localSheetId="1" hidden="1">'FM-029 DEPURADA'!#REF!</definedName>
    <definedName name="_xlnm._FilterDatabase" localSheetId="0" hidden="1">'FM-029 INICIAL'!#REF!</definedName>
    <definedName name="_xlnm._FilterDatabase" localSheetId="2" hidden="1">'PRECIOS TECHO '!#REF!</definedName>
    <definedName name="_xlnm.Print_Area" localSheetId="1">'FM-029 DEPURADA'!$A$1:$W$61</definedName>
    <definedName name="_xlnm.Print_Area" localSheetId="0">'FM-029 INICIAL'!$A$1:$W$61</definedName>
    <definedName name="_xlnm.Print_Area" localSheetId="2">'PRECIOS TECHO '!$A$1:$G$51</definedName>
    <definedName name="dol" localSheetId="1">[1]TABULACION!#REF!</definedName>
    <definedName name="dol" localSheetId="0">[1]TABULACION!#REF!</definedName>
    <definedName name="dol" localSheetId="2">[1]TABULACION!#REF!</definedName>
    <definedName name="dol">[1]TABULACION!#REF!</definedName>
    <definedName name="DOLAR">[2]TABULACION!$C$22</definedName>
    <definedName name="DOLAR1" localSheetId="1">[3]TABULACION!#REF!</definedName>
    <definedName name="DOLAR1" localSheetId="0">[3]TABULACION!#REF!</definedName>
    <definedName name="DOLAR1" localSheetId="2">[3]TABULACION!#REF!</definedName>
    <definedName name="DOLAR1">[3]TABULACION!#REF!</definedName>
    <definedName name="LO" localSheetId="1">[3]TABULACION!#REF!</definedName>
    <definedName name="LO" localSheetId="0">[3]TABULACION!#REF!</definedName>
    <definedName name="LO" localSheetId="2">[3]TABULACION!#REF!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 i="99" l="1"/>
  <c r="R57" i="96" l="1"/>
  <c r="O56" i="96" l="1"/>
  <c r="N56" i="96"/>
  <c r="M56" i="96"/>
  <c r="O55" i="96"/>
  <c r="N55" i="96"/>
  <c r="M55" i="96"/>
  <c r="O54" i="96"/>
  <c r="N54" i="96"/>
  <c r="M54" i="96"/>
  <c r="O53" i="96"/>
  <c r="N53" i="96"/>
  <c r="M53" i="96"/>
  <c r="O52" i="96"/>
  <c r="N52" i="96"/>
  <c r="M52" i="96"/>
  <c r="Q52" i="96" s="1"/>
  <c r="R52" i="96" s="1"/>
  <c r="O51" i="96"/>
  <c r="N51" i="96"/>
  <c r="M51" i="96"/>
  <c r="O50" i="96"/>
  <c r="N50" i="96"/>
  <c r="M50" i="96"/>
  <c r="O49" i="96"/>
  <c r="N49" i="96"/>
  <c r="M49" i="96"/>
  <c r="O48" i="96"/>
  <c r="N48" i="96"/>
  <c r="M48" i="96"/>
  <c r="N47" i="96"/>
  <c r="M47" i="96"/>
  <c r="O46" i="96"/>
  <c r="N46" i="96"/>
  <c r="M46" i="96"/>
  <c r="S46" i="96" s="1"/>
  <c r="O45" i="96"/>
  <c r="N45" i="96"/>
  <c r="M45" i="96"/>
  <c r="O44" i="96"/>
  <c r="N44" i="96"/>
  <c r="M44" i="96"/>
  <c r="O43" i="96"/>
  <c r="N43" i="96"/>
  <c r="M43" i="96"/>
  <c r="P43" i="96" s="1"/>
  <c r="O42" i="96"/>
  <c r="N42" i="96"/>
  <c r="M42" i="96"/>
  <c r="O41" i="96"/>
  <c r="N41" i="96"/>
  <c r="M41" i="96"/>
  <c r="S41" i="96" s="1"/>
  <c r="O40" i="96"/>
  <c r="N40" i="96"/>
  <c r="M40" i="96"/>
  <c r="M39" i="96"/>
  <c r="M38" i="96"/>
  <c r="S38" i="96" s="1"/>
  <c r="O37" i="96"/>
  <c r="N37" i="96"/>
  <c r="M37" i="96"/>
  <c r="Q37" i="96" s="1"/>
  <c r="R37" i="96" s="1"/>
  <c r="O36" i="96"/>
  <c r="N36" i="96"/>
  <c r="M36" i="96"/>
  <c r="O35" i="96"/>
  <c r="N35" i="96"/>
  <c r="M35" i="96"/>
  <c r="O34" i="96"/>
  <c r="M34" i="96"/>
  <c r="Q34" i="96" s="1"/>
  <c r="R34" i="96" s="1"/>
  <c r="O33" i="96"/>
  <c r="N33" i="96"/>
  <c r="M33" i="96"/>
  <c r="O32" i="96"/>
  <c r="N32" i="96"/>
  <c r="M32" i="96"/>
  <c r="M31" i="96"/>
  <c r="M30" i="96"/>
  <c r="Q30" i="96" s="1"/>
  <c r="R30" i="96" s="1"/>
  <c r="O29" i="96"/>
  <c r="N29" i="96"/>
  <c r="M29" i="96"/>
  <c r="S28" i="96"/>
  <c r="O27" i="96"/>
  <c r="N27" i="96"/>
  <c r="M27" i="96"/>
  <c r="O26" i="96"/>
  <c r="N26" i="96"/>
  <c r="M26" i="96"/>
  <c r="O25" i="96"/>
  <c r="N25" i="96"/>
  <c r="M25" i="96"/>
  <c r="S25" i="96" s="1"/>
  <c r="S24" i="96"/>
  <c r="Q24" i="96"/>
  <c r="R24" i="96" s="1"/>
  <c r="P24" i="96"/>
  <c r="N23" i="96"/>
  <c r="M23" i="96"/>
  <c r="S22" i="96"/>
  <c r="Q22" i="96"/>
  <c r="R22" i="96" s="1"/>
  <c r="P22" i="96"/>
  <c r="O21" i="96"/>
  <c r="N21" i="96"/>
  <c r="M21" i="96"/>
  <c r="S21" i="96" s="1"/>
  <c r="O20" i="96"/>
  <c r="N20" i="96"/>
  <c r="M20" i="96"/>
  <c r="N19" i="96"/>
  <c r="M19" i="96"/>
  <c r="Q19" i="96" s="1"/>
  <c r="R19" i="96" s="1"/>
  <c r="N18" i="96"/>
  <c r="M18" i="96"/>
  <c r="N17" i="96"/>
  <c r="M17" i="96"/>
  <c r="O16" i="96"/>
  <c r="N16" i="96"/>
  <c r="M16" i="96"/>
  <c r="O15" i="96"/>
  <c r="N15" i="96"/>
  <c r="M15" i="96"/>
  <c r="O14" i="96"/>
  <c r="N14" i="96"/>
  <c r="M14" i="96"/>
  <c r="S13" i="96"/>
  <c r="Q13" i="96"/>
  <c r="R13" i="96" s="1"/>
  <c r="P13" i="96"/>
  <c r="S12" i="96"/>
  <c r="Q12" i="96"/>
  <c r="R12" i="96" s="1"/>
  <c r="P12" i="96"/>
  <c r="S11" i="96"/>
  <c r="Q11" i="96"/>
  <c r="R11" i="96" s="1"/>
  <c r="P11" i="96"/>
  <c r="S10" i="96"/>
  <c r="Q10" i="96"/>
  <c r="R10" i="96" s="1"/>
  <c r="P10" i="96"/>
  <c r="K5" i="96"/>
  <c r="N56" i="93"/>
  <c r="N55" i="93"/>
  <c r="N54" i="93"/>
  <c r="N53" i="93"/>
  <c r="N52" i="93"/>
  <c r="N51" i="93"/>
  <c r="N50" i="93"/>
  <c r="N49" i="93"/>
  <c r="N48" i="93"/>
  <c r="N47" i="93"/>
  <c r="N46" i="93"/>
  <c r="N45" i="93"/>
  <c r="N44" i="93"/>
  <c r="N43" i="93"/>
  <c r="N42" i="93"/>
  <c r="N41" i="93"/>
  <c r="N40" i="93"/>
  <c r="N39" i="93"/>
  <c r="N38" i="93"/>
  <c r="N37" i="93"/>
  <c r="N36" i="93"/>
  <c r="N35" i="93"/>
  <c r="N34" i="93"/>
  <c r="N33" i="93"/>
  <c r="N32" i="93"/>
  <c r="N31" i="93"/>
  <c r="N30" i="93"/>
  <c r="N29" i="93"/>
  <c r="N28" i="93"/>
  <c r="N27" i="93"/>
  <c r="N26" i="93"/>
  <c r="N25" i="93"/>
  <c r="N23" i="93"/>
  <c r="N21" i="93"/>
  <c r="N20" i="93"/>
  <c r="N19" i="93"/>
  <c r="N18" i="93"/>
  <c r="N17" i="93"/>
  <c r="N16" i="93"/>
  <c r="N15" i="93"/>
  <c r="N14" i="93"/>
  <c r="O56" i="93"/>
  <c r="O55" i="93"/>
  <c r="O54" i="93"/>
  <c r="O53" i="93"/>
  <c r="O52" i="93"/>
  <c r="O51" i="93"/>
  <c r="O50" i="93"/>
  <c r="O49" i="93"/>
  <c r="O48" i="93"/>
  <c r="O47" i="93"/>
  <c r="O46" i="93"/>
  <c r="O45" i="93"/>
  <c r="O44" i="93"/>
  <c r="O43" i="93"/>
  <c r="O42" i="93"/>
  <c r="O41" i="93"/>
  <c r="O40" i="93"/>
  <c r="O39" i="93"/>
  <c r="O38" i="93"/>
  <c r="O37" i="93"/>
  <c r="O36" i="93"/>
  <c r="O35" i="93"/>
  <c r="O34" i="93"/>
  <c r="O33" i="93"/>
  <c r="O32" i="93"/>
  <c r="O31" i="93"/>
  <c r="O30" i="93"/>
  <c r="O29" i="93"/>
  <c r="O28" i="93"/>
  <c r="O27" i="93"/>
  <c r="O26" i="93"/>
  <c r="O25" i="93"/>
  <c r="O23" i="93"/>
  <c r="O21" i="93"/>
  <c r="O20" i="93"/>
  <c r="O19" i="93"/>
  <c r="O18" i="93"/>
  <c r="O17" i="93"/>
  <c r="O16" i="93"/>
  <c r="O15" i="93"/>
  <c r="O14" i="93"/>
  <c r="M14" i="93"/>
  <c r="M15" i="93"/>
  <c r="M16" i="93"/>
  <c r="M17" i="93"/>
  <c r="M18" i="93"/>
  <c r="M19" i="93"/>
  <c r="M20" i="93"/>
  <c r="M21" i="93"/>
  <c r="M23" i="93"/>
  <c r="M25" i="93"/>
  <c r="M26" i="93"/>
  <c r="M27" i="93"/>
  <c r="M29" i="93"/>
  <c r="M30" i="93"/>
  <c r="M31" i="93"/>
  <c r="M32" i="93"/>
  <c r="M33" i="93"/>
  <c r="M34" i="93"/>
  <c r="M35" i="93"/>
  <c r="M36" i="93"/>
  <c r="M37" i="93"/>
  <c r="M38" i="93"/>
  <c r="M39" i="93"/>
  <c r="M40" i="93"/>
  <c r="M41" i="93"/>
  <c r="M42" i="93"/>
  <c r="M43" i="93"/>
  <c r="M44" i="93"/>
  <c r="M45" i="93"/>
  <c r="M46" i="93"/>
  <c r="M47" i="93"/>
  <c r="M48" i="93"/>
  <c r="M49" i="93"/>
  <c r="Q18" i="96" l="1"/>
  <c r="R18" i="96" s="1"/>
  <c r="P55" i="96"/>
  <c r="Q32" i="96"/>
  <c r="R32" i="96" s="1"/>
  <c r="Q45" i="96"/>
  <c r="R45" i="96" s="1"/>
  <c r="S51" i="96"/>
  <c r="Q14" i="96"/>
  <c r="R14" i="96" s="1"/>
  <c r="P26" i="96"/>
  <c r="S15" i="96"/>
  <c r="T12" i="96"/>
  <c r="U12" i="96" s="1"/>
  <c r="V12" i="96" s="1"/>
  <c r="S26" i="96"/>
  <c r="S34" i="96"/>
  <c r="Q16" i="96"/>
  <c r="R16" i="96" s="1"/>
  <c r="Q35" i="96"/>
  <c r="R35" i="96" s="1"/>
  <c r="S50" i="96"/>
  <c r="Q26" i="96"/>
  <c r="R26" i="96" s="1"/>
  <c r="P42" i="96"/>
  <c r="Q53" i="96"/>
  <c r="R53" i="96" s="1"/>
  <c r="Q23" i="96"/>
  <c r="R23" i="96" s="1"/>
  <c r="S48" i="96"/>
  <c r="Q55" i="96"/>
  <c r="R55" i="96" s="1"/>
  <c r="S17" i="96"/>
  <c r="Q29" i="96"/>
  <c r="R29" i="96" s="1"/>
  <c r="Q50" i="96"/>
  <c r="R50" i="96" s="1"/>
  <c r="T13" i="96"/>
  <c r="U13" i="96" s="1"/>
  <c r="V13" i="96" s="1"/>
  <c r="P56" i="96"/>
  <c r="S23" i="96"/>
  <c r="S29" i="96"/>
  <c r="Q42" i="96"/>
  <c r="R42" i="96" s="1"/>
  <c r="S42" i="96"/>
  <c r="T42" i="96" s="1"/>
  <c r="U42" i="96" s="1"/>
  <c r="V42" i="96" s="1"/>
  <c r="Q15" i="96"/>
  <c r="R15" i="96" s="1"/>
  <c r="S45" i="96"/>
  <c r="T45" i="96" s="1"/>
  <c r="U45" i="96" s="1"/>
  <c r="V45" i="96" s="1"/>
  <c r="P15" i="96"/>
  <c r="Q33" i="96"/>
  <c r="R33" i="96" s="1"/>
  <c r="S37" i="96"/>
  <c r="T37" i="96" s="1"/>
  <c r="U37" i="96" s="1"/>
  <c r="V37" i="96" s="1"/>
  <c r="P49" i="96"/>
  <c r="S53" i="96"/>
  <c r="T53" i="96" s="1"/>
  <c r="U53" i="96" s="1"/>
  <c r="V53" i="96" s="1"/>
  <c r="P23" i="96"/>
  <c r="S18" i="96"/>
  <c r="S54" i="96"/>
  <c r="Q27" i="96"/>
  <c r="R27" i="96" s="1"/>
  <c r="P34" i="96"/>
  <c r="S40" i="96"/>
  <c r="P50" i="96"/>
  <c r="T34" i="96"/>
  <c r="U34" i="96" s="1"/>
  <c r="V34" i="96" s="1"/>
  <c r="T24" i="96"/>
  <c r="U24" i="96" s="1"/>
  <c r="V24" i="96" s="1"/>
  <c r="T22" i="96"/>
  <c r="U22" i="96" s="1"/>
  <c r="V22" i="96" s="1"/>
  <c r="T11" i="96"/>
  <c r="U11" i="96" s="1"/>
  <c r="V11" i="96" s="1"/>
  <c r="T10" i="96"/>
  <c r="U10" i="96" s="1"/>
  <c r="V10" i="96" s="1"/>
  <c r="Q31" i="96"/>
  <c r="R31" i="96" s="1"/>
  <c r="P31" i="96"/>
  <c r="S31" i="96"/>
  <c r="P36" i="96"/>
  <c r="S36" i="96"/>
  <c r="Q36" i="96"/>
  <c r="R36" i="96" s="1"/>
  <c r="P47" i="96"/>
  <c r="S47" i="96"/>
  <c r="Q47" i="96"/>
  <c r="R47" i="96" s="1"/>
  <c r="Q44" i="96"/>
  <c r="R44" i="96" s="1"/>
  <c r="S44" i="96"/>
  <c r="P44" i="96"/>
  <c r="S20" i="96"/>
  <c r="Q20" i="96"/>
  <c r="R20" i="96" s="1"/>
  <c r="P20" i="96"/>
  <c r="S39" i="96"/>
  <c r="Q39" i="96"/>
  <c r="R39" i="96" s="1"/>
  <c r="P39" i="96"/>
  <c r="P28" i="96"/>
  <c r="Q28" i="96"/>
  <c r="R28" i="96" s="1"/>
  <c r="S55" i="96"/>
  <c r="Q17" i="96"/>
  <c r="R17" i="96" s="1"/>
  <c r="P33" i="96"/>
  <c r="P41" i="96"/>
  <c r="P14" i="96"/>
  <c r="Q41" i="96"/>
  <c r="R41" i="96" s="1"/>
  <c r="Q49" i="96"/>
  <c r="R49" i="96" s="1"/>
  <c r="S52" i="96"/>
  <c r="T52" i="96" s="1"/>
  <c r="U52" i="96" s="1"/>
  <c r="V52" i="96" s="1"/>
  <c r="Q25" i="96"/>
  <c r="R25" i="96" s="1"/>
  <c r="P30" i="96"/>
  <c r="P38" i="96"/>
  <c r="P46" i="96"/>
  <c r="P54" i="96"/>
  <c r="P19" i="96"/>
  <c r="S33" i="96"/>
  <c r="Q38" i="96"/>
  <c r="R38" i="96" s="1"/>
  <c r="Q46" i="96"/>
  <c r="R46" i="96" s="1"/>
  <c r="S49" i="96"/>
  <c r="S14" i="96"/>
  <c r="T14" i="96" s="1"/>
  <c r="U14" i="96" s="1"/>
  <c r="V14" i="96" s="1"/>
  <c r="Q48" i="96"/>
  <c r="R48" i="96" s="1"/>
  <c r="P17" i="96"/>
  <c r="P25" i="96"/>
  <c r="S30" i="96"/>
  <c r="T30" i="96" s="1"/>
  <c r="U30" i="96" s="1"/>
  <c r="V30" i="96" s="1"/>
  <c r="Q43" i="96"/>
  <c r="R43" i="96" s="1"/>
  <c r="Q51" i="96"/>
  <c r="R51" i="96" s="1"/>
  <c r="S19" i="96"/>
  <c r="T19" i="96" s="1"/>
  <c r="U19" i="96" s="1"/>
  <c r="V19" i="96" s="1"/>
  <c r="P32" i="96"/>
  <c r="P40" i="96"/>
  <c r="P48" i="96"/>
  <c r="S16" i="96"/>
  <c r="Q21" i="96"/>
  <c r="R21" i="96" s="1"/>
  <c r="S27" i="96"/>
  <c r="T27" i="96" s="1"/>
  <c r="U27" i="96" s="1"/>
  <c r="V27" i="96" s="1"/>
  <c r="P29" i="96"/>
  <c r="P37" i="96"/>
  <c r="P45" i="96"/>
  <c r="P53" i="96"/>
  <c r="Q54" i="96"/>
  <c r="R54" i="96" s="1"/>
  <c r="P51" i="96"/>
  <c r="S35" i="96"/>
  <c r="Q40" i="96"/>
  <c r="R40" i="96" s="1"/>
  <c r="S43" i="96"/>
  <c r="Q56" i="96"/>
  <c r="R56" i="96" s="1"/>
  <c r="P18" i="96"/>
  <c r="S32" i="96"/>
  <c r="T32" i="96" s="1"/>
  <c r="U32" i="96" s="1"/>
  <c r="V32" i="96" s="1"/>
  <c r="S56" i="96"/>
  <c r="P52" i="96"/>
  <c r="P35" i="96"/>
  <c r="P16" i="96"/>
  <c r="P27" i="96"/>
  <c r="P21" i="96"/>
  <c r="T18" i="96" l="1"/>
  <c r="U18" i="96" s="1"/>
  <c r="V18" i="96" s="1"/>
  <c r="T35" i="96"/>
  <c r="U35" i="96" s="1"/>
  <c r="V35" i="96" s="1"/>
  <c r="T26" i="96"/>
  <c r="U26" i="96" s="1"/>
  <c r="V26" i="96" s="1"/>
  <c r="T29" i="96"/>
  <c r="U29" i="96" s="1"/>
  <c r="V29" i="96" s="1"/>
  <c r="T23" i="96"/>
  <c r="U23" i="96" s="1"/>
  <c r="V23" i="96" s="1"/>
  <c r="T16" i="96"/>
  <c r="U16" i="96" s="1"/>
  <c r="V16" i="96" s="1"/>
  <c r="T50" i="96"/>
  <c r="U50" i="96" s="1"/>
  <c r="V50" i="96" s="1"/>
  <c r="T55" i="96"/>
  <c r="U55" i="96" s="1"/>
  <c r="V55" i="96" s="1"/>
  <c r="T15" i="96"/>
  <c r="U15" i="96" s="1"/>
  <c r="V15" i="96" s="1"/>
  <c r="T33" i="96"/>
  <c r="U33" i="96" s="1"/>
  <c r="V33" i="96" s="1"/>
  <c r="T31" i="96"/>
  <c r="U31" i="96" s="1"/>
  <c r="V31" i="96" s="1"/>
  <c r="T28" i="96"/>
  <c r="U28" i="96" s="1"/>
  <c r="V28" i="96" s="1"/>
  <c r="T56" i="96"/>
  <c r="U56" i="96" s="1"/>
  <c r="V56" i="96" s="1"/>
  <c r="T47" i="96"/>
  <c r="U47" i="96" s="1"/>
  <c r="V47" i="96" s="1"/>
  <c r="T46" i="96"/>
  <c r="U46" i="96" s="1"/>
  <c r="V46" i="96" s="1"/>
  <c r="T40" i="96"/>
  <c r="U40" i="96" s="1"/>
  <c r="V40" i="96" s="1"/>
  <c r="T38" i="96"/>
  <c r="U38" i="96" s="1"/>
  <c r="V38" i="96" s="1"/>
  <c r="T36" i="96"/>
  <c r="U36" i="96" s="1"/>
  <c r="V36" i="96" s="1"/>
  <c r="T48" i="96"/>
  <c r="U48" i="96" s="1"/>
  <c r="V48" i="96" s="1"/>
  <c r="T17" i="96"/>
  <c r="U17" i="96" s="1"/>
  <c r="V17" i="96" s="1"/>
  <c r="T20" i="96"/>
  <c r="U20" i="96" s="1"/>
  <c r="V20" i="96" s="1"/>
  <c r="T44" i="96"/>
  <c r="U44" i="96" s="1"/>
  <c r="V44" i="96" s="1"/>
  <c r="T41" i="96"/>
  <c r="U41" i="96" s="1"/>
  <c r="V41" i="96" s="1"/>
  <c r="T49" i="96"/>
  <c r="U49" i="96" s="1"/>
  <c r="V49" i="96" s="1"/>
  <c r="T25" i="96"/>
  <c r="U25" i="96" s="1"/>
  <c r="V25" i="96" s="1"/>
  <c r="T54" i="96"/>
  <c r="U54" i="96" s="1"/>
  <c r="V54" i="96" s="1"/>
  <c r="T51" i="96"/>
  <c r="U51" i="96" s="1"/>
  <c r="V51" i="96" s="1"/>
  <c r="T43" i="96"/>
  <c r="U43" i="96" s="1"/>
  <c r="V43" i="96" s="1"/>
  <c r="T39" i="96"/>
  <c r="U39" i="96" s="1"/>
  <c r="V39" i="96" s="1"/>
  <c r="T21" i="96"/>
  <c r="U21" i="96" s="1"/>
  <c r="V21" i="96" s="1"/>
  <c r="M51" i="93" l="1"/>
  <c r="M50" i="93"/>
  <c r="M56" i="93"/>
  <c r="M55" i="93"/>
  <c r="M54" i="93"/>
  <c r="M53" i="93"/>
  <c r="M52" i="93"/>
  <c r="K5" i="93"/>
  <c r="P17" i="93" l="1"/>
  <c r="Q17" i="93"/>
  <c r="R17" i="93" s="1"/>
  <c r="S17" i="93"/>
  <c r="P18" i="93"/>
  <c r="Q18" i="93"/>
  <c r="R18" i="93" s="1"/>
  <c r="S18" i="93"/>
  <c r="P19" i="93"/>
  <c r="Q19" i="93"/>
  <c r="R19" i="93" s="1"/>
  <c r="S19" i="93"/>
  <c r="P20" i="93"/>
  <c r="Q20" i="93"/>
  <c r="R20" i="93" s="1"/>
  <c r="S20" i="93"/>
  <c r="P21" i="93"/>
  <c r="Q21" i="93"/>
  <c r="R21" i="93" s="1"/>
  <c r="S21" i="93"/>
  <c r="P22" i="93"/>
  <c r="Q22" i="93"/>
  <c r="S22" i="93"/>
  <c r="P23" i="93"/>
  <c r="Q23" i="93"/>
  <c r="R23" i="93" s="1"/>
  <c r="S23" i="93"/>
  <c r="P24" i="93"/>
  <c r="Q24" i="93"/>
  <c r="R24" i="93" s="1"/>
  <c r="S24" i="93"/>
  <c r="P25" i="93"/>
  <c r="Q25" i="93"/>
  <c r="R25" i="93" s="1"/>
  <c r="S25" i="93"/>
  <c r="P26" i="93"/>
  <c r="Q26" i="93"/>
  <c r="R26" i="93" s="1"/>
  <c r="S26" i="93"/>
  <c r="T26" i="93" s="1"/>
  <c r="U26" i="93" s="1"/>
  <c r="V26" i="93" s="1"/>
  <c r="P27" i="93"/>
  <c r="Q27" i="93"/>
  <c r="R27" i="93" s="1"/>
  <c r="S27" i="93"/>
  <c r="P28" i="93"/>
  <c r="Q28" i="93"/>
  <c r="R28" i="93" s="1"/>
  <c r="S28" i="93"/>
  <c r="P29" i="93"/>
  <c r="Q29" i="93"/>
  <c r="R29" i="93" s="1"/>
  <c r="S29" i="93"/>
  <c r="P30" i="93"/>
  <c r="Q30" i="93"/>
  <c r="R30" i="93" s="1"/>
  <c r="S30" i="93"/>
  <c r="P31" i="93"/>
  <c r="Q31" i="93"/>
  <c r="R31" i="93" s="1"/>
  <c r="S31" i="93"/>
  <c r="P32" i="93"/>
  <c r="Q32" i="93"/>
  <c r="R32" i="93" s="1"/>
  <c r="S32" i="93"/>
  <c r="P33" i="93"/>
  <c r="Q33" i="93"/>
  <c r="R33" i="93" s="1"/>
  <c r="S33" i="93"/>
  <c r="P34" i="93"/>
  <c r="Q34" i="93"/>
  <c r="R34" i="93" s="1"/>
  <c r="S34" i="93"/>
  <c r="P35" i="93"/>
  <c r="Q35" i="93"/>
  <c r="R35" i="93" s="1"/>
  <c r="S35" i="93"/>
  <c r="P36" i="93"/>
  <c r="Q36" i="93"/>
  <c r="R36" i="93" s="1"/>
  <c r="S36" i="93"/>
  <c r="P37" i="93"/>
  <c r="Q37" i="93"/>
  <c r="R37" i="93" s="1"/>
  <c r="S37" i="93"/>
  <c r="P38" i="93"/>
  <c r="Q38" i="93"/>
  <c r="R38" i="93" s="1"/>
  <c r="S38" i="93"/>
  <c r="P39" i="93"/>
  <c r="Q39" i="93"/>
  <c r="R39" i="93" s="1"/>
  <c r="S39" i="93"/>
  <c r="P40" i="93"/>
  <c r="Q40" i="93"/>
  <c r="R40" i="93" s="1"/>
  <c r="S40" i="93"/>
  <c r="P41" i="93"/>
  <c r="Q41" i="93"/>
  <c r="R41" i="93" s="1"/>
  <c r="S41" i="93"/>
  <c r="T41" i="93" s="1"/>
  <c r="U41" i="93" s="1"/>
  <c r="V41" i="93" s="1"/>
  <c r="P42" i="93"/>
  <c r="Q42" i="93"/>
  <c r="R42" i="93" s="1"/>
  <c r="S42" i="93"/>
  <c r="P43" i="93"/>
  <c r="Q43" i="93"/>
  <c r="R43" i="93" s="1"/>
  <c r="S43" i="93"/>
  <c r="P44" i="93"/>
  <c r="Q44" i="93"/>
  <c r="R44" i="93" s="1"/>
  <c r="S44" i="93"/>
  <c r="P45" i="93"/>
  <c r="Q45" i="93"/>
  <c r="R45" i="93" s="1"/>
  <c r="S45" i="93"/>
  <c r="P46" i="93"/>
  <c r="Q46" i="93"/>
  <c r="R46" i="93" s="1"/>
  <c r="S46" i="93"/>
  <c r="P47" i="93"/>
  <c r="Q47" i="93"/>
  <c r="R47" i="93" s="1"/>
  <c r="S47" i="93"/>
  <c r="T47" i="93" s="1"/>
  <c r="U47" i="93" s="1"/>
  <c r="V47" i="93" s="1"/>
  <c r="P48" i="93"/>
  <c r="Q48" i="93"/>
  <c r="R48" i="93" s="1"/>
  <c r="S48" i="93"/>
  <c r="P49" i="93"/>
  <c r="Q49" i="93"/>
  <c r="R49" i="93" s="1"/>
  <c r="S49" i="93"/>
  <c r="P50" i="93"/>
  <c r="Q50" i="93"/>
  <c r="R50" i="93" s="1"/>
  <c r="S50" i="93"/>
  <c r="P51" i="93"/>
  <c r="Q51" i="93"/>
  <c r="R51" i="93" s="1"/>
  <c r="S51" i="93"/>
  <c r="T51" i="93" s="1"/>
  <c r="U51" i="93" s="1"/>
  <c r="V51" i="93" s="1"/>
  <c r="P52" i="93"/>
  <c r="Q52" i="93"/>
  <c r="R52" i="93" s="1"/>
  <c r="S52" i="93"/>
  <c r="P53" i="93"/>
  <c r="Q53" i="93"/>
  <c r="R53" i="93" s="1"/>
  <c r="S53" i="93"/>
  <c r="P54" i="93"/>
  <c r="Q54" i="93"/>
  <c r="R54" i="93" s="1"/>
  <c r="S54" i="93"/>
  <c r="P55" i="93"/>
  <c r="Q55" i="93"/>
  <c r="R55" i="93" s="1"/>
  <c r="S55" i="93"/>
  <c r="T55" i="93" s="1"/>
  <c r="U55" i="93" s="1"/>
  <c r="V55" i="93" s="1"/>
  <c r="P56" i="93"/>
  <c r="Q56" i="93"/>
  <c r="R56" i="93" s="1"/>
  <c r="S56" i="93"/>
  <c r="Q11" i="93"/>
  <c r="R11" i="93" s="1"/>
  <c r="Q12" i="93"/>
  <c r="R12" i="93" s="1"/>
  <c r="Q13" i="93"/>
  <c r="R13" i="93" s="1"/>
  <c r="Q14" i="93"/>
  <c r="R14" i="93" s="1"/>
  <c r="Q15" i="93"/>
  <c r="R15" i="93" s="1"/>
  <c r="Q16" i="93"/>
  <c r="R16" i="93" s="1"/>
  <c r="Q10" i="93"/>
  <c r="R10" i="93" s="1"/>
  <c r="P16" i="93"/>
  <c r="P15" i="93"/>
  <c r="P14" i="93"/>
  <c r="P13" i="93"/>
  <c r="S13" i="93"/>
  <c r="P12" i="93"/>
  <c r="S10" i="93"/>
  <c r="P10" i="93"/>
  <c r="T50" i="93" l="1"/>
  <c r="U50" i="93" s="1"/>
  <c r="V50" i="93" s="1"/>
  <c r="T39" i="93"/>
  <c r="U39" i="93" s="1"/>
  <c r="V39" i="93" s="1"/>
  <c r="T18" i="93"/>
  <c r="U18" i="93" s="1"/>
  <c r="V18" i="93" s="1"/>
  <c r="T32" i="93"/>
  <c r="U32" i="93" s="1"/>
  <c r="V32" i="93" s="1"/>
  <c r="T17" i="93"/>
  <c r="U17" i="93" s="1"/>
  <c r="V17" i="93" s="1"/>
  <c r="T54" i="93"/>
  <c r="U54" i="93" s="1"/>
  <c r="V54" i="93" s="1"/>
  <c r="T36" i="93"/>
  <c r="U36" i="93" s="1"/>
  <c r="V36" i="93" s="1"/>
  <c r="T23" i="93"/>
  <c r="U23" i="93" s="1"/>
  <c r="V23" i="93" s="1"/>
  <c r="T52" i="93"/>
  <c r="U52" i="93" s="1"/>
  <c r="V52" i="93" s="1"/>
  <c r="T49" i="93"/>
  <c r="U49" i="93" s="1"/>
  <c r="V49" i="93" s="1"/>
  <c r="T45" i="93"/>
  <c r="U45" i="93" s="1"/>
  <c r="V45" i="93" s="1"/>
  <c r="T35" i="93"/>
  <c r="U35" i="93" s="1"/>
  <c r="V35" i="93" s="1"/>
  <c r="T31" i="93"/>
  <c r="U31" i="93" s="1"/>
  <c r="V31" i="93" s="1"/>
  <c r="T56" i="93"/>
  <c r="U56" i="93" s="1"/>
  <c r="V56" i="93" s="1"/>
  <c r="T40" i="93"/>
  <c r="U40" i="93" s="1"/>
  <c r="V40" i="93" s="1"/>
  <c r="T34" i="93"/>
  <c r="U34" i="93" s="1"/>
  <c r="V34" i="93" s="1"/>
  <c r="T21" i="93"/>
  <c r="U21" i="93" s="1"/>
  <c r="V21" i="93" s="1"/>
  <c r="T33" i="93"/>
  <c r="U33" i="93" s="1"/>
  <c r="V33" i="93" s="1"/>
  <c r="T43" i="93"/>
  <c r="U43" i="93" s="1"/>
  <c r="V43" i="93" s="1"/>
  <c r="T48" i="93"/>
  <c r="U48" i="93" s="1"/>
  <c r="V48" i="93" s="1"/>
  <c r="T38" i="93"/>
  <c r="U38" i="93" s="1"/>
  <c r="V38" i="93" s="1"/>
  <c r="T24" i="93"/>
  <c r="U24" i="93" s="1"/>
  <c r="V24" i="93" s="1"/>
  <c r="T22" i="93"/>
  <c r="U22" i="93" s="1"/>
  <c r="V22" i="93" s="1"/>
  <c r="R22" i="93"/>
  <c r="T29" i="93"/>
  <c r="U29" i="93" s="1"/>
  <c r="V29" i="93" s="1"/>
  <c r="T27" i="93"/>
  <c r="U27" i="93" s="1"/>
  <c r="V27" i="93" s="1"/>
  <c r="T25" i="93"/>
  <c r="U25" i="93" s="1"/>
  <c r="V25" i="93" s="1"/>
  <c r="T20" i="93"/>
  <c r="U20" i="93" s="1"/>
  <c r="V20" i="93" s="1"/>
  <c r="T53" i="93"/>
  <c r="U53" i="93" s="1"/>
  <c r="V53" i="93" s="1"/>
  <c r="T46" i="93"/>
  <c r="U46" i="93" s="1"/>
  <c r="V46" i="93" s="1"/>
  <c r="T42" i="93"/>
  <c r="U42" i="93" s="1"/>
  <c r="V42" i="93" s="1"/>
  <c r="T37" i="93"/>
  <c r="U37" i="93" s="1"/>
  <c r="V37" i="93" s="1"/>
  <c r="T30" i="93"/>
  <c r="U30" i="93" s="1"/>
  <c r="V30" i="93" s="1"/>
  <c r="T19" i="93"/>
  <c r="U19" i="93" s="1"/>
  <c r="V19" i="93" s="1"/>
  <c r="T44" i="93"/>
  <c r="U44" i="93" s="1"/>
  <c r="V44" i="93" s="1"/>
  <c r="T28" i="93"/>
  <c r="U28" i="93" s="1"/>
  <c r="V28" i="93" s="1"/>
  <c r="S11" i="93"/>
  <c r="T11" i="93" s="1"/>
  <c r="U11" i="93" s="1"/>
  <c r="V11" i="93" s="1"/>
  <c r="S12" i="93"/>
  <c r="T12" i="93" s="1"/>
  <c r="U12" i="93" s="1"/>
  <c r="V12" i="93" s="1"/>
  <c r="S14" i="93"/>
  <c r="T14" i="93" s="1"/>
  <c r="U14" i="93" s="1"/>
  <c r="V14" i="93" s="1"/>
  <c r="P11" i="93"/>
  <c r="S15" i="93"/>
  <c r="T15" i="93" s="1"/>
  <c r="U15" i="93" s="1"/>
  <c r="V15" i="93" s="1"/>
  <c r="S16" i="93"/>
  <c r="T16" i="93" l="1"/>
  <c r="U16" i="93" s="1"/>
  <c r="V16" i="93" s="1"/>
  <c r="T10" i="93"/>
  <c r="U10" i="93" s="1"/>
  <c r="V10" i="93" s="1"/>
  <c r="R57" i="93"/>
  <c r="T13" i="93"/>
  <c r="U13" i="93" s="1"/>
  <c r="V13" i="93" s="1"/>
  <c r="AN10" i="5" l="1"/>
  <c r="AN11" i="5" s="1"/>
  <c r="AN8" i="5"/>
  <c r="AN7" i="5"/>
  <c r="AN6" i="5"/>
  <c r="K6" i="5"/>
</calcChain>
</file>

<file path=xl/sharedStrings.xml><?xml version="1.0" encoding="utf-8"?>
<sst xmlns="http://schemas.openxmlformats.org/spreadsheetml/2006/main" count="572" uniqueCount="180">
  <si>
    <t>DESVIACION ESTANDAR</t>
  </si>
  <si>
    <t>MARGEN DE CONFIABILIDAD</t>
  </si>
  <si>
    <t>NIVEL DE CONFIABILIDAD DE LOS DATOS</t>
  </si>
  <si>
    <t>NIT</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</si>
  <si>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</si>
  <si>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</si>
  <si>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</si>
  <si>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</si>
  <si>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</si>
  <si>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</si>
  <si>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</si>
  <si>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</si>
  <si>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</si>
  <si>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</si>
  <si>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</si>
  <si>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</si>
  <si>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</si>
  <si>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</si>
  <si>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</si>
  <si>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</si>
  <si>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COMPORTAMIENTO DEL CONTRATISTA</t>
  </si>
  <si>
    <t>SANCIONES SI HUBO LUGAR A ELLO</t>
  </si>
  <si>
    <t>CRONOGRAMA DEL PROCESO DE CONTRATACION LUEGO DE LA FIRMA</t>
  </si>
  <si>
    <t>GARANTIAS EXIGIDAS</t>
  </si>
  <si>
    <t>SINIESTROS</t>
  </si>
  <si>
    <t>RELACION ITEMS A ADQUIRIR</t>
  </si>
  <si>
    <t>OTROSI</t>
  </si>
  <si>
    <t>Suministro</t>
  </si>
  <si>
    <t>Dotacion</t>
  </si>
  <si>
    <t>MIGUEL  ANDRES GUTIERREZ ROMERO  y/o GRAM REPRESENTACIONES</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</si>
  <si>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</si>
  <si>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</si>
  <si>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</si>
  <si>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</si>
  <si>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</si>
  <si>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</si>
  <si>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</si>
  <si>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</si>
  <si>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</si>
  <si>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</si>
  <si>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</si>
  <si>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</si>
  <si>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OK</t>
  </si>
  <si>
    <t>97 BLOQUEADORES</t>
  </si>
  <si>
    <t>contratacion de minima cuantia - ORDEN DE COMPRA</t>
  </si>
  <si>
    <t>BOTIQUINES AUTOMOVILES</t>
  </si>
  <si>
    <t>BOTIQUINES  FIJOS</t>
  </si>
  <si>
    <t>BLOQUEADOR SOLAR</t>
  </si>
  <si>
    <t>realizar la compra de 550 bloqueadores solares para los servidores públicos de la UNIDAD ADMINISTRATIVA ESPECIAL DE REHABILITACION Y MANTENIMIENTO VIAL</t>
  </si>
  <si>
    <t>LABORATORIO GELLSMA LTDA</t>
  </si>
  <si>
    <t>900135657-3</t>
  </si>
  <si>
    <t>DROGUERIA CONTINENTAL DE BOGOTA SAS</t>
  </si>
  <si>
    <t>900379030-3</t>
  </si>
  <si>
    <t>C&amp;P LICITACIONES Y CONSULTORIAS SAS.- ROSS NELLY CARDENAS PINZON</t>
  </si>
  <si>
    <t>contratacion de minima cuantia - CONTRATO DE COMPRAVENTA</t>
  </si>
  <si>
    <t>30 DE NOVIEMBRE DE 2012</t>
  </si>
  <si>
    <t>8 DIAS</t>
  </si>
  <si>
    <t>BLOQUEADOR SOLAR DE 120 ML</t>
  </si>
  <si>
    <t>900313623-7</t>
  </si>
  <si>
    <t>860.000.294-9</t>
  </si>
  <si>
    <t>900303527-5</t>
  </si>
  <si>
    <t>860001498-9</t>
  </si>
  <si>
    <t>65550326-1</t>
  </si>
  <si>
    <t xml:space="preserve"> 830102952-6 </t>
  </si>
  <si>
    <t>ITEM</t>
  </si>
  <si>
    <t>DESCRIPCIÓN</t>
  </si>
  <si>
    <t>MUESTRA</t>
  </si>
  <si>
    <t>VALOR PROMEDIO UNITARIO</t>
  </si>
  <si>
    <t>VALOR PROMEDIO TOTAL</t>
  </si>
  <si>
    <t>COEF VARIACION</t>
  </si>
  <si>
    <t>VALOR UNITARIO INCLUIDO  IVA</t>
  </si>
  <si>
    <t>CONTRATACIONES ANTERIORES UAERMV</t>
  </si>
  <si>
    <t>UND</t>
  </si>
  <si>
    <t>Total</t>
  </si>
  <si>
    <t>Empresa #5</t>
  </si>
  <si>
    <t>TABULACION DEPURADA  COTIZACIONES, CONTRATACIONES  VIGENCIA  ANTERIOR DE LA UAERMV Y CONTRATACIONES SIMILARES DE  OTRAS ENTIDADES PARA EL ESTUDIO DE SECTOR
PRESUPUESTO</t>
  </si>
  <si>
    <t>COTIZACIONES GESTIONADAS PARA EL ESTUDIO DE SECTOR</t>
  </si>
  <si>
    <t>FORMATO CUADRO DE TABULACIÓN Y ANÁLISIS DE DATOS ESTADÍSTICOS - ESTUDIO DE SECTOR</t>
  </si>
  <si>
    <t>CÓDIGO: GCON-FM-029</t>
  </si>
  <si>
    <t>Empresa #6</t>
  </si>
  <si>
    <t>Cant.</t>
  </si>
  <si>
    <t>FECHA DE APLICACIÓN: AGOSTO DE 2025</t>
  </si>
  <si>
    <r>
      <t xml:space="preserve">NOTA: </t>
    </r>
    <r>
      <rPr>
        <sz val="20"/>
        <color theme="1"/>
        <rFont val="Arial Narrow"/>
        <family val="2"/>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r>
      <rPr>
        <b/>
        <sz val="20"/>
        <color theme="1"/>
        <rFont val="Arial Narrow"/>
        <family val="2"/>
      </rPr>
      <t xml:space="preserve">
</t>
    </r>
  </si>
  <si>
    <t>“8095-204- 8208-006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 Y LOS PROYECTOS DE INVERSIÓN 8095 Y 8208 DE LA UAERMV”</t>
  </si>
  <si>
    <t>SALÓN O AUDITORIO</t>
  </si>
  <si>
    <t>Salón o auditorio cubierto con capacidad para la atención de treinta (30) personas, con una disposición adecuada del mobiliario que permita el desarrollo de la actividad. El espacio deberá contar con conexión eléctrica, sistema de sonido, capacidad para la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</si>
  <si>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50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</si>
  <si>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100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</si>
  <si>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Salón o auditorio cubierto para atención de 200 personas con posibilidad de ser dividido en dos espacios,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</si>
  <si>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SILLAS PLÁSTICAS</t>
  </si>
  <si>
    <t>Sillas plásticas sin brazos (Alquiler día)</t>
  </si>
  <si>
    <t>POLTRONA</t>
  </si>
  <si>
    <t>Poltrona para eventos en tarima por un día (Alquiler día)</t>
  </si>
  <si>
    <t>SOFÁ</t>
  </si>
  <si>
    <t>Sofá para eventos en tarima por un día (Alquiler día)</t>
  </si>
  <si>
    <t>MESA PRINCIPAL</t>
  </si>
  <si>
    <t>Mesa de 2 metros con arreglo floral y mantel faldón. (Alquiler día)</t>
  </si>
  <si>
    <t>MESA DE CENTRO</t>
  </si>
  <si>
    <t>Mesa de centro para eventos en tarima. (Alquiler día)</t>
  </si>
  <si>
    <t>BAÑO PORTÁTIL</t>
  </si>
  <si>
    <t>Baño portátil hombre – mujer. (Alquiler día)</t>
  </si>
  <si>
    <t>SONIDO PARA EVENTOS AL AIRE LIBRE – HASTA 100 PERSONAS</t>
  </si>
  <si>
    <t>El servicio deberá incluir cuatro (4) micrófonos inalámbricos, bases o pedestales para micrófono, consola o rack de procesos para control, mezcla y amplificación del sonido, así como los equipos de amplificación y parlantes necesarios para garantizar una adecuada difusión del audio durante la actividad.
Igualmente, deberá incluir el suministro de cableado, accesorios y elementos técnicos requeridos para la correcta instalación y funcionamiento del sistema. El servicio deberá contar con un operador técnico responsable de la instalación, operación, monitoreo del sonido durante el evento y desmontaje de los equipos. El tiempo estimado del servicio corresponde al alquiler del sistema por un (1) día de evento.</t>
  </si>
  <si>
    <t>SONIDO PARA EVENTOS AL AIRE LIBRE – HASTA 200 PERSONAS</t>
  </si>
  <si>
    <t>El servicio deberá incluir cuatro (4) micrófonos inalámbricos con sus respectivas bases o pedestales, consola o rack de procesos para el control, mezcla y amplificación del sonido, así como los equipos de amplificación y parlantes necesarios que garanticen una adecuada cobertura y claridad del audio durante el desarrollo de la actividad.
Igualmente, deberá contemplar el suministro de cableado, accesorios y demás elementos técnicos requeridos para la correcta instalación, operación y funcionamiento del sistema. El servicio deberá contar con un operador técnico responsable de la instalación, manejo del sonido durante el evento y desmontaje de los equipos. El tiempo estimado del servicio corresponde al alquiler del sistema por un (1) día de evento.</t>
  </si>
  <si>
    <t>PENDÓN</t>
  </si>
  <si>
    <t>Pendón publicitario impreso en material banner de alta resistencia, con impresión a full color y acabado de alta calidad que garantice adecuada visibilidad de textos e imágenes. El pendón deberá contar con estructura o soporte tipo araña (roll up o estructura plegable), fabricado en material liviano y resistente que permita su fácil instalación, estabilidad y transporte. Incluye el armado del soporte y la entrega del producto listo para su exhibición en espacios interiores o exteriores durante el desarrollo de las actividades o eventos.</t>
  </si>
  <si>
    <t>BACKING</t>
  </si>
  <si>
    <t>Backing y branding publicitario para evento (Alquiler día)</t>
  </si>
  <si>
    <t>AGENDA ECOLÓGICA</t>
  </si>
  <si>
    <t>Agenda ecológica de tamaño aproximado 14 x 22 cm, elaborada en materiales amigables con el medio ambiente. Deberá contar con hojas internas con membrete institucional y el logo de la UMV, impresos a una tinta o a color según diseño suministrado por la entidad. La agenda deberá incluir cubierta resistente, encuadernación que garantice durabilidad y hojas elaboradas en papel reciclado o de fuentes sostenibles. El producto deberá entregarse completamente terminado y listo para su uso institucional.</t>
  </si>
  <si>
    <t>PANTALLA TÁCTIL</t>
  </si>
  <si>
    <t>Pantalla táctil de 55 pulgadas con soporte.(Alquiler por día)</t>
  </si>
  <si>
    <t>PANTALLA LED</t>
  </si>
  <si>
    <t>Pantalla de proyección para visualización de contenidos audiovisuales en escenario o espacios abiertos, con dimensiones aproximadas de cinco (5) metros de ancho por tres (3) metros de alto. La pantalla deberá contar con estructura de soporte resistente y estable que permita su instalación segura en el lugar del evento, garantizando adecuada visibilidad para los asistentes. El servicio incluye instalación, ajuste y desmontaje de la pantalla, así como los elementos y accesorios necesarios para su correcto funcionamiento. El tiempo estimado del servicio corresponde al alquiler por un (1) día de evento.</t>
  </si>
  <si>
    <t>PANTALLA DE RETORNO</t>
  </si>
  <si>
    <t>Pantalla de retorno con distribuidor de señal para apoyo en conferencias por un día. (Alquiler por 1 día)</t>
  </si>
  <si>
    <t>APUNTADOR Y PASADOR DE DIAPOSITIVAS</t>
  </si>
  <si>
    <t>Apuntador inalámbrico para presentaciones, diseñado para facilitar el control y avance de diapositivas durante exposiciones o actividades institucionales. El dispositivo deberá permitir cambiar, retroceder o avanzar diapositivas de manera remota, contar con puntero láser integrado para señalar información en pantalla y ser compatible con equipos de cómputo y software de presentación de uso común. Deberá incluir receptor USB, alimentación mediante baterías o recarga, y diseño ergonómico que facilite su manipulación durante las presentaciones.</t>
  </si>
  <si>
    <t>SISTEMA DE REGISTRO</t>
  </si>
  <si>
    <t>Sistema de registro con personal para el registro de 50 asistentes al evento con computador e impresora. (alquiler por un día)</t>
  </si>
  <si>
    <t>EXTENSIÓN ELÉCTRICA</t>
  </si>
  <si>
    <t>Extensión de 10 metros de largo. (Alquiler día)</t>
  </si>
  <si>
    <t>Extensión de 20 metros de largo. (Alquiler día)</t>
  </si>
  <si>
    <t>TARIMA (INCLUYE FALDON, CONCHA, DIFERENTES ALTURAS, ESCALERA LATERAL PARED AL FONDO</t>
  </si>
  <si>
    <t>12*6 metros (Alquiler por 4 horas)</t>
  </si>
  <si>
    <t>6*6 metros (Alquiler por 4 horas)</t>
  </si>
  <si>
    <t>4*4 metros (Alquiler por 4 horas)</t>
  </si>
  <si>
    <t>CARPA</t>
  </si>
  <si>
    <t>2*2 metros con laterales. (Alquiler día)</t>
  </si>
  <si>
    <t>4*4 metros con laterales. (Alquiler día)</t>
  </si>
  <si>
    <t>6*6 metros con laterales. (Alquiler día)</t>
  </si>
  <si>
    <t>8*8 metros con laterales. (Alquiler día)</t>
  </si>
  <si>
    <t>Tipo hangar 6*12 metros con cortinas. (Alquiler día)</t>
  </si>
  <si>
    <t>PLANTA ELÉCTRICA</t>
  </si>
  <si>
    <t>1,5 KVA. (Alquiler día)</t>
  </si>
  <si>
    <t>4,0 KVA. (Alquiler día)</t>
  </si>
  <si>
    <t>10 KVA. (Alquiler día)</t>
  </si>
  <si>
    <t>30 KVA. (Alquiler día)</t>
  </si>
  <si>
    <t>INTÉRPRETE</t>
  </si>
  <si>
    <t>Licenciado en educación con énfasis en educación especial (Lengua de señas). (Por 1 hora)</t>
  </si>
  <si>
    <t>PERSONA DE APOYO LOGÍSTICO</t>
  </si>
  <si>
    <t>Bachiller con seis meses de experiencia en montaje y/o desmontaje de carpas, y/o tarimas, y/o sillas, y/o mesas, y/o pendones, y/o entrega documentación, etc. (Por día)</t>
  </si>
  <si>
    <t>BRIGADISTA</t>
  </si>
  <si>
    <t>Brigadista de emergencias. (Por 1 hora)</t>
  </si>
  <si>
    <t>MESERO</t>
  </si>
  <si>
    <t>Mesero. (Por 1 hora)</t>
  </si>
  <si>
    <t>GRUPO LOGÍSTICO</t>
  </si>
  <si>
    <t>Equipo logístico de mínimo 10 personas con experiencia en manejo de eventos masivos. (Por día)</t>
  </si>
  <si>
    <t>Equipo logístico de mínimo 5 personas con experiencia en manejo de eventos masivos. (Por día)</t>
  </si>
  <si>
    <t>REFRIGERIO TIPO 1</t>
  </si>
  <si>
    <t>Refrigerio institucional con porciones completas, compuesto por un sándwich artesanal tipo baguette con un peso aproximado de 300 g por unidad, elaborado con 120 g de pan tipo baguette, 90 g de proteína (pechuga de pollo desmechada o jamón), 30 g de queso tajado, 40 g de vegetales frescos (lechuga y tomate) y 20 g de salsa suave; o una unidad de producto horneado salado tipo empanada o pastel, con peso individual entre 120 g y 150 g (no presentación cóctel).
Incluye una porción individual de producto dulce con peso entre 100 g y 120 g (torta o brownie) y una bebida fría en presentación individual de 300 ml (jugo o bebida de fruta). Los productos deberán entregarse en condiciones adecuadas de higiene, conservación y empaque individual para su distribución durante el evento.</t>
  </si>
  <si>
    <t>REFRIGERIO TIPO 2</t>
  </si>
  <si>
    <t xml:space="preserve">Refrigerio institucional Tipo II, compuesto por un jugo en caja tipo tetra pack con contenido mínimo entre 200 ml y 300 ml, una porción individual de natilla tradicional colombiana con peso neto mínimo de 200 g, con textura firme, homogénea y consistencia para su consumo, y un buñuelo artesanal de aproximadamente 100 g por unidad, con diámetro entre 7 y 9 cm, frito en aceite limpio, con exterior crocante e interior suave.
La porción deberá servirse en plato desechable rígido o biodegradable de calibre resistente, incluyendo cubierto plástico o biodegradable apto para postre y servilleta doble hoja. Los productos deberán garantizar presentación individual, frescura y cumplimiento de los gramajes establecidos.
</t>
  </si>
  <si>
    <t>ESTACIÓN DE CAFÉ Y AGUA</t>
  </si>
  <si>
    <t>Punto de café sencillo con capacidad productiva para atender hasta treinta (30) servicios de tinto (café negro) y treinta (30) servicios de aromática o té. El café deberá prepararse con café molido de calidad institucional, con rendimiento estimado de 7 a 10 g de café por taza de 180 a 200 ml, y las aromáticas o té en bolsa individual, preparados con agua potable previamente hervida y mantenida en termos térmicos con capacidad suficiente para conservar la temperatura durante el servicio.
El servicio deberá incluir suministro de azúcar blanca y morena en sobres individuales (mínimo 5 g por unidad), endulzante bajo en calorías en sobres individuales, crema no láctea o leche en presentación y galletas individuales (mínimo dos unidades por servicio). Así mismo, deberá prestarse en loza (tazas de porcelana o cerámica de 200 ml con plato base), con cucharillas metálicas o reutilizables, servilleta doble hoja, mesa vestida con mantel, disposición organizada de insumos, reposición durante la jornada y atención en el lugar del evento, garantizando presentación limpia y ordenada acorde con el protocolo institucional.</t>
  </si>
  <si>
    <t>Punto de café sencillo con capacidad productiva para atender hasta cincuenta (50) servicios de café negro preparados con un rendimiento estimado de 7 a 10 g de café molido por taza, equivalente a un requerimiento aproximado de 500 g de café, y cincuenta (50) servicios de aromática o té en bolsa individual. Deberá contar con disponibilidad mínima de diez (10) litros de agua potable caliente para garantizar cien (100) servicios totales de 200 ml cada uno.
El servicio deberá incluir suministro de azúcar blanca y morena en sobres individuales (mínimo 100 unidades de 5 g), endulzante bajo en calorías (mínimo 50 sobres), crema no láctea o leche en presentación individual (mínimo 100 unidades de 10 ml) y galletas individuales con provisión mínima de dos (2) unidades por servicio (200 galletas en total). Incluye servilleta doble hoja por servicio y disposición organizada de estación con termos térmicos industriales que mantengan la temperatura durante toda la jornada.</t>
  </si>
  <si>
    <t>Punto de café sencillo con capacidad para cien (100) servicios de café negro preparados con un rendimiento estimado de 7 a 10 g de café molido por taza, equivalente a un requerimiento aproximado de 1.000 g (1 kg) de café, y cien (100) servicios de aromática o té en bolsa individual. Deberá contar con disponibilidad mínima de veinte (20) litros de agua potable caliente para garantizar doscientos (200) servicios totales de 200 ml cada uno.
El servicio deberá incluir suministro de azúcar blanca y morena en sobres individuales (mínimo 200 unidades de 5 g), endulzante bajo en calorías (mínimo 100 sobres), crema no láctea o leche en presentación individual (mínimo 200 unidades de 10 ml) y galletas individuales, con provisión mínima de dos (2) unidades por servicio (400 galletas en total). Incluye servilleta doble hoja por servicio y disposición organizada de estación con termos térmicos industriales que mantengan la temperatura durante toda la jornada.</t>
  </si>
  <si>
    <t>DESAYUNO TIPO BUFFET</t>
  </si>
  <si>
    <t>Desayunos tipo buffet saludable y balanceado (platos, taza de 200 ml, vaso de 250 ml, cubiertos metálicos y servilleta), que incluya opciones variadas y suficientes: estación caliente con huevos al gusto (mínimo 120 g por porción) y/o tamal tradicional individual de mínimo 350 g; opción de cereal integral (30 g) acompañado de leche semidescremada o deslactosada (200 ml) marca Alpina o equivalente; fruta fresca picada de temporada con porción mínima de 200 g; panadería fresca blanca y/o integral (mínimo 60 g por servicio) con mantequilla y mermelada individual; tinto o café preparado con café marca Juan Valdez o equivalente, café con leche y/o jugo natural o en caja de 250 ml marca Hit, del valle o similar, garantizando un desayuno completo, nutritivo y de excelente presentación.</t>
  </si>
  <si>
    <t>ALMUERZO TIPO BUFFET</t>
  </si>
  <si>
    <t>Almuerzo tipo buffet con suficiencia y variedad que incluya como mínimo dos (2) tipos de carne con porción individual mínima de 120 g cada una, pudiendo ofrecerse opciones como pechuga de pollo a la plancha en salsa suave, carne de res en corte magro tipo posta o lomo en salsa, o lomo de cerdo horneado, preparados con insumos frescos y carnes certificadas.
Incluye acompañamiento de arroz blanco o arroz con vegetales con porción mínima de 180 g; ensalada fresca de temporada con base de lechuga, tomate, pepino, zanahoria y aguacate, con porción mínima de 150 g; bebida fría individual de 300 ml (jugo natural o bebida de fruta); y postre individual con peso entre 100 g y 120 g (torta, gelatina especial o mousse).</t>
  </si>
  <si>
    <t>UNIDAD</t>
  </si>
  <si>
    <t>PERSONA</t>
  </si>
  <si>
    <t>COMPENSAR</t>
  </si>
  <si>
    <t>IMAGROUP COLOMBIA S.A.S.</t>
  </si>
  <si>
    <t>SOCIEDAD HOTELERA TEQUENDAMA</t>
  </si>
  <si>
    <t>FUNHUMANOS ONG</t>
  </si>
  <si>
    <t>EVENTOS Y PRODUCCIONES SALOMON SAS</t>
  </si>
  <si>
    <t>VALOR UNITARIO  
INCLUIDO  IVA A PRECIO 2026</t>
  </si>
  <si>
    <t>CONTRATO 475 DE 2025
17/07/2025</t>
  </si>
  <si>
    <t xml:space="preserve">CONTRATO 485 DE 2024
15/07/2024 </t>
  </si>
  <si>
    <t>4 CUARTOS S.A.S</t>
  </si>
  <si>
    <t>CONTRATO 670 DE 2023
19/10/2023</t>
  </si>
  <si>
    <t>FUNDACIÓN G3</t>
  </si>
  <si>
    <t>LOS VALORES DE CONTRATOS DE LA UAERMV Y DE OTRAS ENTIDADES ESTAN INDEXADO A MARZO 2026</t>
  </si>
  <si>
    <r>
      <rPr>
        <b/>
        <sz val="12"/>
        <rFont val="Arial Narrow"/>
        <family val="2"/>
      </rPr>
      <t>Proyectó</t>
    </r>
    <r>
      <rPr>
        <sz val="12"/>
        <rFont val="Arial Narrow"/>
        <family val="2"/>
      </rPr>
      <t>: -SASHA ANAMARIA VIDAL GRANADOS/Cto 001-2026</t>
    </r>
  </si>
  <si>
    <t>TOTAL</t>
  </si>
  <si>
    <t>8095-204- 8208-006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 Y LOS PROYECTOS DE INVERSIÓN 8095 Y 8208 DE LA UAERMV</t>
  </si>
  <si>
    <t>PRECIO UNITARIO MÁXIMO A PAGAR POR LA UMV
(Todo costo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</si>
</sst>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quot;$&quot;\ #,##0.00"/>
    <numFmt numFmtId="168" formatCode="[$-240A]d&quot; de &quot;mmmm&quot; de &quot;yyyy;@"/>
    <numFmt numFmtId="169" formatCode="_([$$-240A]\ * #,##0.00_);_([$$-240A]\ * \(#,##0.00\);_([$$-240A]\ * &quot;-&quot;??_);_(@_)"/>
    <numFmt numFmtId="170" formatCode="_ [$€-2]\ * #,##0.00_ ;_ [$€-2]\ * \-#,##0.00_ ;_ [$€-2]\ * &quot;-&quot;??_ "/>
    <numFmt numFmtId="171" formatCode="_ * #,##0.00_ ;_ * \-#,##0.00_ ;_ * &quot;-&quot;??_ ;_ @_ "/>
    <numFmt numFmtId="172" formatCode="_-* #,##0.00\ _€_-;\-* #,##0.00\ _€_-;_-* &quot;-&quot;??\ _€_-;_-@_-"/>
    <numFmt numFmtId="173" formatCode="_ * #,##0.00000_ ;_ * \-#,##0.00000_ ;_ * &quot;-&quot;??_ ;_ @_ "/>
    <numFmt numFmtId="174" formatCode="_ &quot;$&quot;\ * #,##0.00_ ;_ &quot;$&quot;\ * \-#,##0.00_ ;_ &quot;$&quot;\ * &quot;-&quot;??_ ;_ @_ "/>
    <numFmt numFmtId="175" formatCode="_(&quot;C$&quot;* #,##0.00_);_(&quot;C$&quot;* \(#,##0.00\);_(&quot;C$&quot;* &quot;-&quot;??_);_(@_)"/>
    <numFmt numFmtId="176" formatCode="&quot;$&quot;#,##0\ ;\(&quot;$&quot;#,##0\)"/>
    <numFmt numFmtId="177" formatCode="[$-C0A]d\-mmm\-yy;@"/>
    <numFmt numFmtId="178" formatCode="0.000"/>
    <numFmt numFmtId="179" formatCode="_(&quot;$&quot;\ * #,##0_);_(&quot;$&quot;\ * \(#,##0\);_(&quot;$&quot;\ * &quot;-&quot;??_);_(@_)"/>
    <numFmt numFmtId="180" formatCode="_ * #,##0.00_ ;_ * \-#,##0.00_ ;_ * \-??_ ;_ @_ "/>
    <numFmt numFmtId="181" formatCode="\$#,##0\ ;\(\$#,##0\)"/>
    <numFmt numFmtId="182" formatCode="_([$€]* #,##0.00_);_([$€]* \(#,##0.00\);_([$€]* &quot;-&quot;??_);_(@_)"/>
    <numFmt numFmtId="183" formatCode="_ * #,##0_ ;_ * \-#,##0_ ;_ * \-??_ ;_ @_ "/>
    <numFmt numFmtId="184" formatCode="#,##0.0"/>
    <numFmt numFmtId="185" formatCode="_-* #,##0.00\ _P_t_s_-;\-* #,##0.00\ _P_t_s_-;_-* &quot;-&quot;??\ _P_t_s_-;_-@_-"/>
    <numFmt numFmtId="186" formatCode="_ &quot;$&quot;\ * #,##0_ ;_ &quot;$&quot;\ * \-#,##0_ ;_ &quot;$&quot;\ * &quot;-&quot;_ ;_ @_ "/>
    <numFmt numFmtId="187" formatCode="_-* #,##0.00\ &quot;€&quot;_-;\-* #,##0.00\ &quot;€&quot;_-;_-* &quot;-&quot;??\ &quot;€&quot;_-;_-@_-"/>
    <numFmt numFmtId="188" formatCode="_-* #,##0.00\ &quot;Pta&quot;_-;\-* #,##0.00\ &quot;Pta&quot;_-;_-* &quot;-&quot;??\ &quot;Pta&quot;_-;_-@_-"/>
    <numFmt numFmtId="189" formatCode="_-* #,##0.00\ &quot;Pts&quot;_-;\-* #,##0.00\ &quot;Pts&quot;_-;_-* &quot;-&quot;??\ &quot;Pts&quot;_-;_-@_-"/>
    <numFmt numFmtId="190" formatCode="_-* #,##0.00\ [$€]_-;\-* #,##0.00\ [$€]_-;_-* &quot;-&quot;??\ [$€]_-;_-@_-"/>
    <numFmt numFmtId="191" formatCode="_(&quot;$&quot;* #,##0.00_);_(&quot;$&quot;* \(#,##0.00\);_(&quot;$&quot;* &quot;-&quot;??_);_(@_)"/>
  </numFmts>
  <fonts count="86">
    <font>
      <sz val="11"/>
      <color theme="1"/>
      <name val="Calibri"/>
      <family val="2"/>
      <scheme val="minor"/>
    </font>
    <font>
      <sz val="11"/>
      <color theme="1"/>
      <name val="Arial Narrow"/>
      <family val="2"/>
    </font>
    <font>
      <sz val="11"/>
      <color theme="1"/>
      <name val="Arial Narrow"/>
      <family val="2"/>
    </font>
    <font>
      <sz val="11"/>
      <color theme="1"/>
      <name val="Calibri"/>
      <family val="2"/>
      <scheme val="minor"/>
    </font>
    <font>
      <b/>
      <sz val="11"/>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sz val="12"/>
      <name val="Arial"/>
      <family val="2"/>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11"/>
      <color rgb="FF000000"/>
      <name val="Arial Narrow"/>
      <family val="2"/>
    </font>
    <font>
      <b/>
      <sz val="11"/>
      <color theme="1"/>
      <name val="Arial Narrow"/>
      <family val="2"/>
    </font>
    <font>
      <b/>
      <sz val="10"/>
      <color theme="1"/>
      <name val="Arial Narrow"/>
      <family val="2"/>
    </font>
    <font>
      <b/>
      <sz val="10"/>
      <color rgb="FF000000"/>
      <name val="Arial Narrow"/>
      <family val="2"/>
    </font>
    <font>
      <sz val="16"/>
      <color theme="1"/>
      <name val="Arial Narrow"/>
      <family val="2"/>
    </font>
    <font>
      <b/>
      <sz val="20"/>
      <color theme="0"/>
      <name val="Arial Narrow"/>
      <family val="2"/>
    </font>
    <font>
      <b/>
      <sz val="16"/>
      <color theme="1"/>
      <name val="Arial Narrow"/>
      <family val="2"/>
    </font>
    <font>
      <b/>
      <sz val="14"/>
      <color theme="1"/>
      <name val="Arial Narrow"/>
      <family val="2"/>
    </font>
    <font>
      <b/>
      <sz val="12"/>
      <color theme="1"/>
      <name val="Arial Narrow"/>
      <family val="2"/>
    </font>
    <font>
      <b/>
      <sz val="12"/>
      <color rgb="FF000000"/>
      <name val="Arial Narrow"/>
      <family val="2"/>
    </font>
    <font>
      <sz val="12"/>
      <color theme="1"/>
      <name val="Arial Narrow"/>
      <family val="2"/>
    </font>
    <font>
      <sz val="14"/>
      <color theme="1"/>
      <name val="Arial Narrow"/>
      <family val="2"/>
    </font>
    <font>
      <sz val="12"/>
      <color rgb="FF000000"/>
      <name val="Arial Narrow"/>
      <family val="2"/>
    </font>
    <font>
      <sz val="12"/>
      <name val="Arial Narrow"/>
      <family val="2"/>
    </font>
    <font>
      <b/>
      <sz val="20"/>
      <color theme="1"/>
      <name val="Arial Narrow"/>
      <family val="2"/>
    </font>
    <font>
      <sz val="20"/>
      <color theme="1"/>
      <name val="Arial Narrow"/>
      <family val="2"/>
    </font>
    <font>
      <b/>
      <sz val="13"/>
      <color theme="1"/>
      <name val="Arial Narrow"/>
      <family val="2"/>
    </font>
    <font>
      <b/>
      <sz val="12"/>
      <name val="Arial Narrow"/>
      <family val="2"/>
    </font>
    <font>
      <b/>
      <sz val="20"/>
      <name val="Arial Narrow"/>
      <family val="2"/>
    </font>
    <font>
      <sz val="11"/>
      <color rgb="FF000000"/>
      <name val="Arial Narrow"/>
      <family val="2"/>
    </font>
    <font>
      <sz val="11"/>
      <name val="Arial Narrow"/>
      <family val="2"/>
    </font>
    <font>
      <sz val="10"/>
      <color rgb="FF000000"/>
      <name val="Arial Narrow"/>
      <family val="2"/>
    </font>
    <font>
      <b/>
      <sz val="11"/>
      <color rgb="FFFF0000"/>
      <name val="Arial Narrow"/>
      <family val="2"/>
    </font>
    <font>
      <b/>
      <sz val="18"/>
      <color theme="1"/>
      <name val="Arial Narrow"/>
      <family val="2"/>
    </font>
  </fonts>
  <fills count="7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7" tint="0.79998168889431442"/>
        <bgColor indexed="64"/>
      </patternFill>
    </fill>
  </fills>
  <borders count="10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style="dashed">
        <color indexed="64"/>
      </top>
      <bottom style="dashed">
        <color indexed="64"/>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s>
  <cellStyleXfs count="1574">
    <xf numFmtId="0" fontId="0" fillId="0" borderId="0"/>
    <xf numFmtId="166" fontId="3" fillId="0" borderId="0" applyFont="0" applyFill="0" applyBorder="0" applyAlignment="0" applyProtection="0"/>
    <xf numFmtId="0" fontId="3" fillId="0" borderId="0"/>
    <xf numFmtId="164" fontId="3" fillId="0" borderId="0" applyFont="0" applyFill="0" applyBorder="0" applyAlignment="0" applyProtection="0"/>
    <xf numFmtId="0" fontId="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0" fontId="8" fillId="4"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5"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8" fillId="6"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0" fontId="8" fillId="7"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8" fillId="9"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7" borderId="0" applyNumberFormat="0" applyBorder="0" applyAlignment="0" applyProtection="0"/>
    <xf numFmtId="0" fontId="8" fillId="10" borderId="0" applyNumberFormat="0" applyBorder="0" applyAlignment="0" applyProtection="0"/>
    <xf numFmtId="0" fontId="8" fillId="14"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0"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0"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1"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0" fontId="8" fillId="13"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1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0" fontId="8" fillId="7"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5"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10"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8" fillId="14"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169" fontId="8" fillId="12" borderId="0" applyNumberFormat="0" applyBorder="0" applyAlignment="0" applyProtection="0"/>
    <xf numFmtId="0" fontId="9" fillId="16" borderId="0" applyNumberFormat="0" applyBorder="0" applyAlignment="0" applyProtection="0"/>
    <xf numFmtId="0" fontId="9" fillId="11" borderId="0" applyNumberFormat="0" applyBorder="0" applyAlignment="0" applyProtection="0"/>
    <xf numFmtId="0" fontId="9" fillId="13"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0" fontId="9" fillId="16"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0" fontId="9" fillId="11"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0" fontId="9" fillId="13"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0" fontId="9" fillId="17"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5"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0" fontId="9" fillId="1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8"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0" fontId="9" fillId="19"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169" fontId="9" fillId="11"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20" borderId="0" applyNumberFormat="0" applyBorder="0" applyAlignment="0" applyProtection="0"/>
    <xf numFmtId="0" fontId="10" fillId="5"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0" fontId="11" fillId="6"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169" fontId="11" fillId="8" borderId="0" applyNumberFormat="0" applyBorder="0" applyAlignment="0" applyProtection="0"/>
    <xf numFmtId="0" fontId="12" fillId="24"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0" fontId="12" fillId="24"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3" fillId="25" borderId="32"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0"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4" fillId="26" borderId="33" applyNumberFormat="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0" fontId="16" fillId="0" borderId="35"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169" fontId="15" fillId="0" borderId="34" applyNumberFormat="0" applyFill="0" applyAlignment="0" applyProtection="0"/>
    <xf numFmtId="0" fontId="14" fillId="26" borderId="33" applyNumberFormat="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0" fontId="18"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17" fillId="0" borderId="0" applyNumberFormat="0" applyFill="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0" fontId="9" fillId="21"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7"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0" fontId="9" fillId="22"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0" fontId="9" fillId="23"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14"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0" fontId="9" fillId="17"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2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0"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0" fontId="9" fillId="20"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9" fillId="22" borderId="0" applyNumberFormat="0" applyBorder="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0" fontId="19" fillId="9"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69" fontId="19" fillId="15" borderId="32" applyNumberFormat="0" applyAlignment="0" applyProtection="0"/>
    <xf numFmtId="170" fontId="7" fillId="0" borderId="0" applyFont="0" applyFill="0" applyBorder="0" applyAlignment="0" applyProtection="0"/>
    <xf numFmtId="0" fontId="20" fillId="0" borderId="0" applyNumberFormat="0" applyFill="0" applyBorder="0" applyAlignment="0" applyProtection="0"/>
    <xf numFmtId="0" fontId="11" fillId="6" borderId="0" applyNumberFormat="0" applyBorder="0" applyAlignment="0" applyProtection="0"/>
    <xf numFmtId="0" fontId="21" fillId="0" borderId="36" applyNumberFormat="0" applyFill="0" applyAlignment="0" applyProtection="0"/>
    <xf numFmtId="0" fontId="22" fillId="0" borderId="37" applyNumberFormat="0" applyFill="0" applyAlignment="0" applyProtection="0"/>
    <xf numFmtId="0" fontId="18" fillId="0" borderId="38" applyNumberFormat="0" applyFill="0" applyAlignment="0" applyProtection="0"/>
    <xf numFmtId="0" fontId="18" fillId="0" borderId="0" applyNumberFormat="0" applyFill="0" applyBorder="0" applyAlignment="0" applyProtection="0"/>
    <xf numFmtId="0" fontId="23" fillId="0" borderId="0" applyNumberFormat="0" applyFill="0" applyBorder="0" applyAlignment="0" applyProtection="0">
      <alignment vertical="top"/>
      <protection locked="0"/>
    </xf>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0" fontId="10" fillId="5"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0" fontId="19" fillId="9" borderId="32" applyNumberFormat="0" applyAlignment="0" applyProtection="0"/>
    <xf numFmtId="0" fontId="16" fillId="0" borderId="35" applyNumberFormat="0" applyFill="0" applyAlignment="0" applyProtection="0"/>
    <xf numFmtId="167"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3" fillId="0" borderId="0" applyFont="0" applyFill="0" applyBorder="0" applyAlignment="0" applyProtection="0"/>
    <xf numFmtId="166" fontId="7" fillId="0" borderId="0" applyFont="0" applyFill="0" applyBorder="0" applyAlignment="0" applyProtection="0"/>
    <xf numFmtId="165" fontId="3"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174" fontId="3" fillId="0" borderId="0" applyFont="0" applyFill="0" applyBorder="0" applyAlignment="0" applyProtection="0"/>
    <xf numFmtId="175" fontId="7" fillId="0" borderId="0" applyFont="0" applyFill="0" applyBorder="0" applyAlignment="0" applyProtection="0"/>
    <xf numFmtId="176" fontId="24" fillId="0" borderId="0" applyFont="0" applyFill="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0" fontId="26"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25" fillId="15" borderId="0" applyNumberFormat="0" applyBorder="0" applyAlignment="0" applyProtection="0"/>
    <xf numFmtId="169" fontId="7" fillId="0" borderId="0"/>
    <xf numFmtId="0" fontId="27" fillId="0" borderId="0" applyNumberFormat="0" applyFill="0" applyBorder="0" applyProtection="0">
      <alignment vertical="top"/>
    </xf>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7" fillId="0" borderId="0"/>
    <xf numFmtId="171" fontId="7"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0" fontId="7"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7" fillId="0" borderId="0"/>
    <xf numFmtId="169" fontId="7" fillId="0" borderId="0"/>
    <xf numFmtId="169" fontId="7" fillId="0" borderId="0"/>
    <xf numFmtId="169" fontId="7" fillId="0" borderId="0"/>
    <xf numFmtId="169" fontId="7" fillId="0" borderId="0"/>
    <xf numFmtId="169" fontId="7" fillId="0" borderId="0"/>
    <xf numFmtId="169" fontId="8" fillId="0" borderId="0"/>
    <xf numFmtId="169" fontId="7" fillId="0" borderId="0"/>
    <xf numFmtId="169" fontId="8" fillId="0" borderId="0"/>
    <xf numFmtId="169" fontId="8" fillId="0" borderId="0"/>
    <xf numFmtId="169" fontId="8" fillId="0" borderId="0"/>
    <xf numFmtId="169" fontId="8" fillId="0" borderId="0"/>
    <xf numFmtId="169" fontId="8" fillId="0" borderId="0"/>
    <xf numFmtId="169" fontId="7" fillId="0" borderId="0"/>
    <xf numFmtId="169" fontId="7" fillId="0" borderId="0"/>
    <xf numFmtId="169" fontId="7" fillId="0" borderId="0"/>
    <xf numFmtId="169" fontId="7" fillId="0" borderId="0"/>
    <xf numFmtId="177" fontId="3" fillId="0" borderId="0"/>
    <xf numFmtId="177" fontId="3" fillId="0" borderId="0"/>
    <xf numFmtId="0" fontId="7" fillId="0" borderId="0"/>
    <xf numFmtId="0" fontId="7" fillId="0" borderId="0"/>
    <xf numFmtId="169" fontId="7" fillId="0" borderId="0"/>
    <xf numFmtId="169" fontId="7" fillId="0" borderId="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0"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169" fontId="7" fillId="12" borderId="39" applyNumberFormat="0" applyFont="0" applyAlignment="0" applyProtection="0"/>
    <xf numFmtId="0" fontId="7" fillId="12" borderId="39" applyNumberFormat="0" applyFont="0" applyAlignment="0" applyProtection="0"/>
    <xf numFmtId="0" fontId="28" fillId="24" borderId="40"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0" fontId="28" fillId="24"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28" fillId="25" borderId="40" applyNumberFormat="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0"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15"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0"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169" fontId="20" fillId="0" borderId="0" applyNumberFormat="0" applyFill="0" applyBorder="0" applyAlignment="0" applyProtection="0"/>
    <xf numFmtId="0" fontId="29" fillId="0" borderId="0" applyNumberFormat="0" applyFill="0" applyBorder="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0" fontId="21" fillId="0" borderId="36"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0" fillId="0" borderId="41" applyNumberFormat="0" applyFill="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0" fontId="22" fillId="0" borderId="37"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2" fillId="0" borderId="42" applyNumberFormat="0" applyFill="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0" fontId="18" fillId="0" borderId="38"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17" fillId="0" borderId="43" applyNumberFormat="0" applyFill="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0" fontId="29"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1" fillId="0" borderId="0" applyNumberFormat="0" applyFill="0" applyBorder="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0" fontId="33" fillId="0" borderId="45"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169" fontId="33" fillId="0" borderId="44" applyNumberFormat="0" applyFill="0" applyAlignment="0" applyProtection="0"/>
    <xf numFmtId="0" fontId="15" fillId="0" borderId="0" applyNumberFormat="0" applyFill="0" applyBorder="0" applyAlignment="0" applyProtection="0"/>
    <xf numFmtId="43" fontId="3" fillId="0" borderId="0" applyFont="0" applyFill="0" applyBorder="0" applyAlignment="0" applyProtection="0"/>
    <xf numFmtId="0" fontId="38" fillId="31" borderId="0" applyNumberFormat="0" applyBorder="0" applyAlignment="0" applyProtection="0"/>
    <xf numFmtId="0" fontId="7" fillId="0" borderId="0"/>
    <xf numFmtId="180" fontId="7" fillId="0" borderId="0" applyFill="0" applyBorder="0" applyAlignment="0" applyProtection="0"/>
    <xf numFmtId="9" fontId="7" fillId="0" borderId="0" applyFill="0" applyBorder="0" applyAlignment="0" applyProtection="0"/>
    <xf numFmtId="40" fontId="41" fillId="0" borderId="0">
      <alignment horizontal="center"/>
    </xf>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3" fontId="42" fillId="0" borderId="0">
      <alignment horizontal="center" vertical="center"/>
    </xf>
    <xf numFmtId="0" fontId="7" fillId="0" borderId="0"/>
    <xf numFmtId="0" fontId="42" fillId="0" borderId="68" applyNumberFormat="0" applyFont="0" applyFill="0" applyAlignment="0" applyProtection="0">
      <alignment horizontal="left"/>
    </xf>
    <xf numFmtId="3" fontId="7" fillId="0" borderId="0" applyFont="0" applyFill="0" applyBorder="0" applyAlignment="0" applyProtection="0"/>
    <xf numFmtId="3"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33" fillId="32" borderId="0" applyNumberFormat="0" applyBorder="0" applyAlignment="0" applyProtection="0"/>
    <xf numFmtId="0" fontId="33" fillId="33" borderId="0" applyNumberFormat="0" applyBorder="0" applyAlignment="0" applyProtection="0"/>
    <xf numFmtId="0" fontId="33" fillId="34"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9" fillId="36" borderId="0" applyNumberFormat="0" applyBorder="0" applyAlignment="0" applyProtection="0"/>
    <xf numFmtId="0" fontId="8" fillId="37" borderId="0" applyNumberFormat="0" applyBorder="0" applyAlignment="0" applyProtection="0"/>
    <xf numFmtId="0" fontId="8" fillId="38" borderId="0" applyNumberFormat="0" applyBorder="0" applyAlignment="0" applyProtection="0"/>
    <xf numFmtId="0" fontId="9" fillId="39" borderId="0" applyNumberFormat="0" applyBorder="0" applyAlignment="0" applyProtection="0"/>
    <xf numFmtId="0" fontId="8" fillId="37" borderId="0" applyNumberFormat="0" applyBorder="0" applyAlignment="0" applyProtection="0"/>
    <xf numFmtId="0" fontId="8" fillId="40" borderId="0" applyNumberFormat="0" applyBorder="0" applyAlignment="0" applyProtection="0"/>
    <xf numFmtId="0" fontId="9" fillId="38" borderId="0" applyNumberFormat="0" applyBorder="0" applyAlignment="0" applyProtection="0"/>
    <xf numFmtId="0" fontId="8" fillId="35" borderId="0" applyNumberFormat="0" applyBorder="0" applyAlignment="0" applyProtection="0"/>
    <xf numFmtId="0" fontId="8" fillId="38" borderId="0" applyNumberFormat="0" applyBorder="0" applyAlignment="0" applyProtection="0"/>
    <xf numFmtId="0" fontId="9" fillId="38" borderId="0" applyNumberFormat="0" applyBorder="0" applyAlignment="0" applyProtection="0"/>
    <xf numFmtId="0" fontId="8" fillId="41" borderId="0" applyNumberFormat="0" applyBorder="0" applyAlignment="0" applyProtection="0"/>
    <xf numFmtId="0" fontId="8" fillId="35" borderId="0" applyNumberFormat="0" applyBorder="0" applyAlignment="0" applyProtection="0"/>
    <xf numFmtId="0" fontId="9" fillId="36" borderId="0" applyNumberFormat="0" applyBorder="0" applyAlignment="0" applyProtection="0"/>
    <xf numFmtId="0" fontId="8" fillId="37" borderId="0" applyNumberFormat="0" applyBorder="0" applyAlignment="0" applyProtection="0"/>
    <xf numFmtId="0" fontId="8" fillId="42" borderId="0" applyNumberFormat="0" applyBorder="0" applyAlignment="0" applyProtection="0"/>
    <xf numFmtId="0" fontId="9" fillId="42" borderId="0" applyNumberFormat="0" applyBorder="0" applyAlignment="0" applyProtection="0"/>
    <xf numFmtId="0" fontId="43" fillId="0" borderId="0"/>
    <xf numFmtId="182" fontId="44" fillId="0" borderId="0" applyFont="0" applyFill="0" applyBorder="0" applyAlignment="0" applyProtection="0"/>
    <xf numFmtId="170" fontId="8"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170" fontId="40"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178" fontId="7" fillId="0" borderId="0" applyFont="0" applyFill="0" applyBorder="0" applyAlignment="0" applyProtection="0"/>
    <xf numFmtId="183" fontId="7" fillId="0" borderId="0" applyFill="0" applyBorder="0" applyAlignment="0" applyProtection="0"/>
    <xf numFmtId="184" fontId="7" fillId="0" borderId="0" applyFont="0" applyFill="0" applyBorder="0" applyAlignment="0" applyProtection="0"/>
    <xf numFmtId="171" fontId="7" fillId="0" borderId="0" applyFont="0" applyFill="0" applyBorder="0" applyAlignment="0" applyProtection="0"/>
    <xf numFmtId="166" fontId="8" fillId="0" borderId="0" applyFont="0" applyFill="0" applyBorder="0" applyAlignment="0" applyProtection="0"/>
    <xf numFmtId="43" fontId="7" fillId="0" borderId="0" applyFont="0" applyFill="0" applyBorder="0" applyAlignment="0" applyProtection="0"/>
    <xf numFmtId="185" fontId="7" fillId="0" borderId="0" applyFont="0" applyFill="0" applyBorder="0" applyAlignment="0" applyProtection="0"/>
    <xf numFmtId="171"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188" fontId="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174" fontId="7" fillId="0" borderId="0" applyFont="0" applyFill="0" applyBorder="0" applyAlignment="0" applyProtection="0"/>
    <xf numFmtId="0" fontId="7" fillId="0" borderId="0"/>
    <xf numFmtId="0" fontId="7" fillId="0" borderId="0"/>
    <xf numFmtId="0" fontId="7" fillId="0" borderId="0"/>
    <xf numFmtId="0" fontId="7" fillId="0" borderId="0"/>
    <xf numFmtId="0" fontId="45" fillId="0" borderId="0"/>
    <xf numFmtId="0" fontId="40" fillId="0" borderId="0"/>
    <xf numFmtId="0" fontId="40" fillId="0" borderId="0"/>
    <xf numFmtId="0" fontId="7" fillId="0" borderId="0"/>
    <xf numFmtId="0" fontId="7" fillId="0" borderId="0"/>
    <xf numFmtId="0" fontId="40" fillId="0" borderId="0"/>
    <xf numFmtId="0" fontId="40" fillId="0" borderId="0"/>
    <xf numFmtId="0" fontId="40"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40" fillId="0" borderId="0"/>
    <xf numFmtId="0" fontId="46" fillId="0" borderId="0"/>
    <xf numFmtId="0" fontId="39" fillId="0" borderId="0"/>
    <xf numFmtId="9" fontId="7" fillId="0" borderId="0" applyFont="0" applyFill="0" applyBorder="0" applyAlignment="0" applyProtection="0"/>
    <xf numFmtId="9" fontId="7" fillId="0" borderId="0" applyFont="0" applyFill="0" applyBorder="0" applyAlignment="0" applyProtection="0"/>
    <xf numFmtId="0" fontId="31" fillId="0" borderId="0" applyNumberFormat="0" applyFill="0" applyBorder="0" applyAlignment="0" applyProtection="0"/>
    <xf numFmtId="0" fontId="47" fillId="0" borderId="0"/>
    <xf numFmtId="9" fontId="7" fillId="0" borderId="0" applyFont="0" applyFill="0" applyBorder="0" applyAlignment="0" applyProtection="0"/>
    <xf numFmtId="0" fontId="7" fillId="0" borderId="0"/>
    <xf numFmtId="0" fontId="7" fillId="0" borderId="0"/>
    <xf numFmtId="165" fontId="3" fillId="0" borderId="0" applyFont="0" applyFill="0" applyBorder="0" applyAlignment="0" applyProtection="0"/>
    <xf numFmtId="165" fontId="3" fillId="0" borderId="0" applyFont="0" applyFill="0" applyBorder="0" applyAlignment="0" applyProtection="0"/>
    <xf numFmtId="0" fontId="48" fillId="0" borderId="0" applyNumberFormat="0" applyFill="0" applyBorder="0" applyAlignment="0" applyProtection="0"/>
    <xf numFmtId="0" fontId="49" fillId="0" borderId="69" applyNumberFormat="0" applyFill="0" applyAlignment="0" applyProtection="0"/>
    <xf numFmtId="0" fontId="50" fillId="0" borderId="70" applyNumberFormat="0" applyFill="0" applyAlignment="0" applyProtection="0"/>
    <xf numFmtId="0" fontId="51" fillId="0" borderId="71" applyNumberFormat="0" applyFill="0" applyAlignment="0" applyProtection="0"/>
    <xf numFmtId="0" fontId="51" fillId="0" borderId="0" applyNumberFormat="0" applyFill="0" applyBorder="0" applyAlignment="0" applyProtection="0"/>
    <xf numFmtId="0" fontId="52" fillId="43" borderId="0" applyNumberFormat="0" applyBorder="0" applyAlignment="0" applyProtection="0"/>
    <xf numFmtId="0" fontId="53" fillId="44" borderId="0" applyNumberFormat="0" applyBorder="0" applyAlignment="0" applyProtection="0"/>
    <xf numFmtId="0" fontId="54" fillId="45" borderId="0" applyNumberFormat="0" applyBorder="0" applyAlignment="0" applyProtection="0"/>
    <xf numFmtId="0" fontId="55" fillId="46" borderId="72" applyNumberFormat="0" applyAlignment="0" applyProtection="0"/>
    <xf numFmtId="0" fontId="56" fillId="47" borderId="73" applyNumberFormat="0" applyAlignment="0" applyProtection="0"/>
    <xf numFmtId="0" fontId="57" fillId="47" borderId="72" applyNumberFormat="0" applyAlignment="0" applyProtection="0"/>
    <xf numFmtId="0" fontId="58" fillId="0" borderId="74" applyNumberFormat="0" applyFill="0" applyAlignment="0" applyProtection="0"/>
    <xf numFmtId="0" fontId="36" fillId="48" borderId="75" applyNumberFormat="0" applyAlignment="0" applyProtection="0"/>
    <xf numFmtId="0" fontId="59" fillId="0" borderId="0" applyNumberFormat="0" applyFill="0" applyBorder="0" applyAlignment="0" applyProtection="0"/>
    <xf numFmtId="0" fontId="3" fillId="49" borderId="76" applyNumberFormat="0" applyFont="0" applyAlignment="0" applyProtection="0"/>
    <xf numFmtId="0" fontId="60" fillId="0" borderId="0" applyNumberFormat="0" applyFill="0" applyBorder="0" applyAlignment="0" applyProtection="0"/>
    <xf numFmtId="0" fontId="4" fillId="0" borderId="77" applyNumberFormat="0" applyFill="0" applyAlignment="0" applyProtection="0"/>
    <xf numFmtId="0" fontId="38" fillId="50" borderId="0" applyNumberFormat="0" applyBorder="0" applyAlignment="0" applyProtection="0"/>
    <xf numFmtId="0" fontId="3" fillId="51" borderId="0" applyNumberFormat="0" applyBorder="0" applyAlignment="0" applyProtection="0"/>
    <xf numFmtId="0" fontId="3" fillId="52" borderId="0" applyNumberFormat="0" applyBorder="0" applyAlignment="0" applyProtection="0"/>
    <xf numFmtId="0" fontId="38" fillId="53" borderId="0" applyNumberFormat="0" applyBorder="0" applyAlignment="0" applyProtection="0"/>
    <xf numFmtId="0" fontId="3" fillId="54" borderId="0" applyNumberFormat="0" applyBorder="0" applyAlignment="0" applyProtection="0"/>
    <xf numFmtId="0" fontId="3" fillId="55" borderId="0" applyNumberFormat="0" applyBorder="0" applyAlignment="0" applyProtection="0"/>
    <xf numFmtId="0" fontId="38" fillId="56" borderId="0" applyNumberFormat="0" applyBorder="0" applyAlignment="0" applyProtection="0"/>
    <xf numFmtId="0" fontId="38" fillId="57" borderId="0" applyNumberFormat="0" applyBorder="0" applyAlignment="0" applyProtection="0"/>
    <xf numFmtId="0" fontId="3" fillId="58" borderId="0" applyNumberFormat="0" applyBorder="0" applyAlignment="0" applyProtection="0"/>
    <xf numFmtId="0" fontId="3" fillId="59" borderId="0" applyNumberFormat="0" applyBorder="0" applyAlignment="0" applyProtection="0"/>
    <xf numFmtId="0" fontId="38" fillId="60" borderId="0" applyNumberFormat="0" applyBorder="0" applyAlignment="0" applyProtection="0"/>
    <xf numFmtId="0" fontId="38" fillId="61" borderId="0" applyNumberFormat="0" applyBorder="0" applyAlignment="0" applyProtection="0"/>
    <xf numFmtId="0" fontId="3" fillId="62" borderId="0" applyNumberFormat="0" applyBorder="0" applyAlignment="0" applyProtection="0"/>
    <xf numFmtId="0" fontId="3" fillId="63" borderId="0" applyNumberFormat="0" applyBorder="0" applyAlignment="0" applyProtection="0"/>
    <xf numFmtId="0" fontId="38" fillId="64" borderId="0" applyNumberFormat="0" applyBorder="0" applyAlignment="0" applyProtection="0"/>
    <xf numFmtId="0" fontId="38" fillId="65" borderId="0" applyNumberFormat="0" applyBorder="0" applyAlignment="0" applyProtection="0"/>
    <xf numFmtId="0" fontId="3" fillId="66" borderId="0" applyNumberFormat="0" applyBorder="0" applyAlignment="0" applyProtection="0"/>
    <xf numFmtId="0" fontId="3" fillId="67" borderId="0" applyNumberFormat="0" applyBorder="0" applyAlignment="0" applyProtection="0"/>
    <xf numFmtId="0" fontId="38" fillId="68" borderId="0" applyNumberFormat="0" applyBorder="0" applyAlignment="0" applyProtection="0"/>
    <xf numFmtId="0" fontId="38" fillId="69" borderId="0" applyNumberFormat="0" applyBorder="0" applyAlignment="0" applyProtection="0"/>
    <xf numFmtId="0" fontId="3" fillId="70" borderId="0" applyNumberFormat="0" applyBorder="0" applyAlignment="0" applyProtection="0"/>
    <xf numFmtId="0" fontId="3" fillId="71" borderId="0" applyNumberFormat="0" applyBorder="0" applyAlignment="0" applyProtection="0"/>
    <xf numFmtId="0" fontId="38" fillId="72" borderId="0" applyNumberFormat="0" applyBorder="0" applyAlignment="0" applyProtection="0"/>
    <xf numFmtId="0" fontId="61" fillId="0" borderId="0" applyNumberFormat="0" applyFill="0" applyBorder="0" applyAlignment="0" applyProtection="0">
      <alignment vertical="top"/>
      <protection locked="0"/>
    </xf>
    <xf numFmtId="0" fontId="8" fillId="0" borderId="0"/>
    <xf numFmtId="0" fontId="37" fillId="0" borderId="0" applyNumberFormat="0" applyFill="0" applyBorder="0" applyAlignment="0" applyProtection="0"/>
    <xf numFmtId="190" fontId="7" fillId="0" borderId="0" applyFont="0" applyFill="0" applyBorder="0" applyAlignment="0" applyProtection="0"/>
    <xf numFmtId="0" fontId="23" fillId="0" borderId="0" applyNumberFormat="0" applyFill="0" applyBorder="0" applyAlignment="0" applyProtection="0">
      <alignment vertical="top"/>
      <protection locked="0"/>
    </xf>
    <xf numFmtId="172" fontId="3" fillId="0" borderId="0" applyFont="0" applyFill="0" applyBorder="0" applyAlignment="0" applyProtection="0"/>
    <xf numFmtId="170" fontId="7" fillId="0" borderId="0" applyFont="0" applyFill="0" applyBorder="0" applyAlignment="0" applyProtection="0"/>
    <xf numFmtId="166" fontId="3" fillId="0" borderId="0" applyFont="0" applyFill="0" applyBorder="0" applyAlignment="0" applyProtection="0"/>
    <xf numFmtId="191" fontId="3" fillId="0" borderId="0" applyFont="0" applyFill="0" applyBorder="0" applyAlignment="0" applyProtection="0"/>
  </cellStyleXfs>
  <cellXfs count="215">
    <xf numFmtId="0" fontId="0" fillId="0" borderId="0" xfId="0"/>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5" fillId="0" borderId="0" xfId="0" applyFont="1"/>
    <xf numFmtId="0" fontId="5" fillId="0" borderId="17" xfId="0" applyFont="1" applyBorder="1"/>
    <xf numFmtId="0" fontId="5" fillId="0" borderId="16" xfId="0" applyFont="1" applyBorder="1"/>
    <xf numFmtId="0" fontId="5" fillId="0" borderId="18" xfId="0" applyFont="1" applyBorder="1" applyAlignment="1">
      <alignment horizontal="center"/>
    </xf>
    <xf numFmtId="168" fontId="5" fillId="0" borderId="16" xfId="0" applyNumberFormat="1" applyFont="1" applyBorder="1"/>
    <xf numFmtId="164" fontId="5" fillId="0" borderId="17" xfId="3" applyFont="1" applyFill="1" applyBorder="1"/>
    <xf numFmtId="0" fontId="5" fillId="0" borderId="18" xfId="0" applyFont="1" applyBorder="1"/>
    <xf numFmtId="0" fontId="5" fillId="0" borderId="19" xfId="0" applyFont="1" applyBorder="1"/>
    <xf numFmtId="0" fontId="5" fillId="0" borderId="21" xfId="0" applyFont="1" applyBorder="1"/>
    <xf numFmtId="0" fontId="5" fillId="0" borderId="23" xfId="0" applyFont="1" applyBorder="1"/>
    <xf numFmtId="0" fontId="5" fillId="0" borderId="24" xfId="0" applyFont="1" applyBorder="1"/>
    <xf numFmtId="0" fontId="5" fillId="0" borderId="25" xfId="0" applyFont="1" applyBorder="1" applyAlignment="1">
      <alignment horizontal="center"/>
    </xf>
    <xf numFmtId="168" fontId="5" fillId="0" borderId="26" xfId="0" applyNumberFormat="1" applyFont="1" applyBorder="1"/>
    <xf numFmtId="0" fontId="5" fillId="0" borderId="27" xfId="0" applyFont="1" applyBorder="1"/>
    <xf numFmtId="164" fontId="5" fillId="0" borderId="27" xfId="3" applyFont="1" applyBorder="1"/>
    <xf numFmtId="0" fontId="5" fillId="0" borderId="28" xfId="0" applyFont="1" applyBorder="1"/>
    <xf numFmtId="0" fontId="5" fillId="0" borderId="20" xfId="0" applyFont="1" applyBorder="1"/>
    <xf numFmtId="0" fontId="5" fillId="0" borderId="29" xfId="0" applyFont="1" applyBorder="1"/>
    <xf numFmtId="0" fontId="5" fillId="0" borderId="22" xfId="0" applyFont="1" applyBorder="1"/>
    <xf numFmtId="0" fontId="5" fillId="0" borderId="30" xfId="0" applyFont="1" applyBorder="1"/>
    <xf numFmtId="0" fontId="5" fillId="0" borderId="29" xfId="0" applyFont="1" applyBorder="1" applyAlignment="1">
      <alignment horizontal="center"/>
    </xf>
    <xf numFmtId="0" fontId="5" fillId="0" borderId="26" xfId="0" applyFont="1" applyBorder="1"/>
    <xf numFmtId="0" fontId="5" fillId="0" borderId="28" xfId="0" applyFont="1" applyBorder="1" applyAlignment="1">
      <alignment horizontal="center"/>
    </xf>
    <xf numFmtId="164" fontId="5" fillId="0" borderId="27" xfId="3" applyFont="1" applyFill="1" applyBorder="1"/>
    <xf numFmtId="0" fontId="34" fillId="0" borderId="0" xfId="0" applyFont="1"/>
    <xf numFmtId="0" fontId="35" fillId="0" borderId="0" xfId="0" applyFont="1"/>
    <xf numFmtId="0" fontId="5" fillId="0" borderId="31" xfId="0" applyFont="1" applyBorder="1"/>
    <xf numFmtId="0" fontId="5" fillId="0" borderId="46" xfId="0" applyFont="1" applyBorder="1"/>
    <xf numFmtId="0" fontId="5" fillId="0" borderId="47" xfId="0" applyFont="1" applyBorder="1"/>
    <xf numFmtId="0" fontId="5" fillId="0" borderId="48" xfId="0" applyFont="1" applyBorder="1"/>
    <xf numFmtId="0" fontId="64" fillId="0" borderId="0" xfId="0" applyFont="1" applyAlignment="1">
      <alignment vertical="center" wrapText="1"/>
    </xf>
    <xf numFmtId="0" fontId="2" fillId="30" borderId="0" xfId="0" applyFont="1" applyFill="1"/>
    <xf numFmtId="0" fontId="65" fillId="0" borderId="0" xfId="0" applyFont="1" applyAlignment="1">
      <alignment vertical="center" wrapText="1"/>
    </xf>
    <xf numFmtId="0" fontId="66" fillId="30" borderId="0" xfId="0" applyFont="1" applyFill="1"/>
    <xf numFmtId="0" fontId="70" fillId="74" borderId="4" xfId="0" applyFont="1" applyFill="1" applyBorder="1" applyAlignment="1">
      <alignment horizontal="center" vertical="center" wrapText="1"/>
    </xf>
    <xf numFmtId="0" fontId="70" fillId="74" borderId="5" xfId="0" applyFont="1" applyFill="1" applyBorder="1" applyAlignment="1">
      <alignment horizontal="center" vertical="center" wrapText="1"/>
    </xf>
    <xf numFmtId="0" fontId="69" fillId="30" borderId="67" xfId="0" applyFont="1" applyFill="1" applyBorder="1" applyAlignment="1">
      <alignment horizontal="center" vertical="center" wrapText="1"/>
    </xf>
    <xf numFmtId="0" fontId="69" fillId="30" borderId="64" xfId="0" applyFont="1" applyFill="1" applyBorder="1" applyAlignment="1">
      <alignment horizontal="center" vertical="center" wrapText="1"/>
    </xf>
    <xf numFmtId="0" fontId="69" fillId="30" borderId="66" xfId="0" applyFont="1" applyFill="1" applyBorder="1" applyAlignment="1">
      <alignment horizontal="center" vertical="center" wrapText="1"/>
    </xf>
    <xf numFmtId="0" fontId="69" fillId="30" borderId="58" xfId="0" applyFont="1" applyFill="1" applyBorder="1" applyAlignment="1">
      <alignment horizontal="center" vertical="center" wrapText="1"/>
    </xf>
    <xf numFmtId="0" fontId="65" fillId="74" borderId="67" xfId="0" applyFont="1" applyFill="1" applyBorder="1" applyAlignment="1">
      <alignment horizontal="center" vertical="center" wrapText="1"/>
    </xf>
    <xf numFmtId="0" fontId="71" fillId="74" borderId="64" xfId="0" applyFont="1" applyFill="1" applyBorder="1" applyAlignment="1">
      <alignment horizontal="center" vertical="center" wrapText="1"/>
    </xf>
    <xf numFmtId="0" fontId="71" fillId="74" borderId="66" xfId="0" applyFont="1" applyFill="1" applyBorder="1" applyAlignment="1">
      <alignment horizontal="center" vertical="center" wrapText="1"/>
    </xf>
    <xf numFmtId="0" fontId="70" fillId="74" borderId="60" xfId="0" applyFont="1" applyFill="1" applyBorder="1" applyAlignment="1">
      <alignment horizontal="center" vertical="center" wrapText="1"/>
    </xf>
    <xf numFmtId="179" fontId="73" fillId="0" borderId="50" xfId="0" applyNumberFormat="1" applyFont="1" applyBorder="1" applyAlignment="1">
      <alignment vertical="center"/>
    </xf>
    <xf numFmtId="179" fontId="73" fillId="0" borderId="1" xfId="0" applyNumberFormat="1" applyFont="1" applyBorder="1" applyAlignment="1">
      <alignment vertical="center"/>
    </xf>
    <xf numFmtId="179" fontId="73" fillId="0" borderId="54" xfId="0" applyNumberFormat="1" applyFont="1" applyBorder="1" applyAlignment="1">
      <alignment vertical="center"/>
    </xf>
    <xf numFmtId="179" fontId="73" fillId="0" borderId="55" xfId="0" applyNumberFormat="1" applyFont="1" applyBorder="1" applyAlignment="1">
      <alignment vertical="center"/>
    </xf>
    <xf numFmtId="0" fontId="73" fillId="0" borderId="50" xfId="0" applyFont="1" applyBorder="1" applyAlignment="1">
      <alignment horizontal="center" vertical="center"/>
    </xf>
    <xf numFmtId="179" fontId="73" fillId="0" borderId="1" xfId="0" applyNumberFormat="1" applyFont="1" applyBorder="1" applyAlignment="1">
      <alignment horizontal="center" vertical="center" wrapText="1"/>
    </xf>
    <xf numFmtId="179" fontId="73" fillId="30" borderId="1" xfId="0" applyNumberFormat="1" applyFont="1" applyFill="1" applyBorder="1" applyAlignment="1">
      <alignment horizontal="center" vertical="center" wrapText="1"/>
    </xf>
    <xf numFmtId="164" fontId="73" fillId="30" borderId="1" xfId="3" applyFont="1" applyFill="1" applyBorder="1" applyAlignment="1">
      <alignment vertical="center"/>
    </xf>
    <xf numFmtId="39" fontId="73" fillId="30" borderId="1" xfId="0" applyNumberFormat="1" applyFont="1" applyFill="1" applyBorder="1" applyAlignment="1">
      <alignment vertical="center"/>
    </xf>
    <xf numFmtId="39" fontId="73" fillId="30" borderId="1" xfId="0" applyNumberFormat="1" applyFont="1" applyFill="1" applyBorder="1" applyAlignment="1">
      <alignment horizontal="center" vertical="center"/>
    </xf>
    <xf numFmtId="0" fontId="73" fillId="30" borderId="51" xfId="0" applyFont="1" applyFill="1" applyBorder="1" applyAlignment="1">
      <alignment horizontal="center" vertical="center"/>
    </xf>
    <xf numFmtId="179" fontId="72" fillId="0" borderId="50" xfId="0" applyNumberFormat="1" applyFont="1" applyBorder="1" applyAlignment="1">
      <alignment vertical="center"/>
    </xf>
    <xf numFmtId="179" fontId="75" fillId="0" borderId="1" xfId="0" applyNumberFormat="1" applyFont="1" applyBorder="1" applyAlignment="1">
      <alignment vertical="center"/>
    </xf>
    <xf numFmtId="179" fontId="72" fillId="0" borderId="1" xfId="0" applyNumberFormat="1" applyFont="1" applyBorder="1" applyAlignment="1">
      <alignment vertical="center"/>
    </xf>
    <xf numFmtId="179" fontId="72" fillId="0" borderId="54" xfId="0" applyNumberFormat="1" applyFont="1" applyBorder="1" applyAlignment="1">
      <alignment vertical="center"/>
    </xf>
    <xf numFmtId="179" fontId="68" fillId="73" borderId="52" xfId="0" applyNumberFormat="1" applyFont="1" applyFill="1" applyBorder="1" applyAlignment="1">
      <alignment horizontal="center" vertical="center" wrapText="1"/>
    </xf>
    <xf numFmtId="0" fontId="63" fillId="30" borderId="0" xfId="0" applyFont="1" applyFill="1" applyAlignment="1">
      <alignment horizontal="left" wrapText="1"/>
    </xf>
    <xf numFmtId="0" fontId="75" fillId="0" borderId="0" xfId="0" applyFont="1"/>
    <xf numFmtId="0" fontId="63" fillId="30" borderId="0" xfId="0" applyFont="1" applyFill="1"/>
    <xf numFmtId="10" fontId="2" fillId="30" borderId="0" xfId="0" applyNumberFormat="1" applyFont="1" applyFill="1"/>
    <xf numFmtId="0" fontId="81" fillId="0" borderId="61" xfId="0" applyFont="1" applyBorder="1" applyAlignment="1">
      <alignment horizontal="center" vertical="center" wrapText="1"/>
    </xf>
    <xf numFmtId="0" fontId="81" fillId="0" borderId="52" xfId="0" applyFont="1" applyBorder="1" applyAlignment="1">
      <alignment horizontal="justify" vertical="center" wrapText="1"/>
    </xf>
    <xf numFmtId="0" fontId="82" fillId="0" borderId="1" xfId="0" applyFont="1" applyBorder="1" applyAlignment="1">
      <alignment horizontal="justify" vertical="center" wrapText="1"/>
    </xf>
    <xf numFmtId="0" fontId="81" fillId="0" borderId="50" xfId="0" applyFont="1" applyBorder="1" applyAlignment="1">
      <alignment horizontal="center" vertical="center" wrapText="1"/>
    </xf>
    <xf numFmtId="0" fontId="82" fillId="0" borderId="52" xfId="0" applyFont="1" applyBorder="1" applyAlignment="1">
      <alignment horizontal="justify" vertical="center" wrapText="1"/>
    </xf>
    <xf numFmtId="0" fontId="83" fillId="0" borderId="52" xfId="0" applyFont="1" applyBorder="1" applyAlignment="1">
      <alignment horizontal="center" vertical="center" wrapText="1"/>
    </xf>
    <xf numFmtId="0" fontId="72" fillId="30" borderId="0" xfId="0" applyFont="1" applyFill="1"/>
    <xf numFmtId="0" fontId="70" fillId="30" borderId="53" xfId="0" applyFont="1" applyFill="1" applyBorder="1" applyAlignment="1">
      <alignment horizontal="center" vertical="center" wrapText="1"/>
    </xf>
    <xf numFmtId="179" fontId="72" fillId="75" borderId="50" xfId="0" applyNumberFormat="1" applyFont="1" applyFill="1" applyBorder="1" applyAlignment="1">
      <alignment vertical="center"/>
    </xf>
    <xf numFmtId="0" fontId="70" fillId="30" borderId="0" xfId="0" applyFont="1" applyFill="1" applyAlignment="1">
      <alignment horizontal="left" wrapText="1"/>
    </xf>
    <xf numFmtId="0" fontId="2" fillId="30" borderId="0" xfId="0" applyFont="1" applyFill="1" applyAlignment="1">
      <alignment horizontal="center" vertical="center"/>
    </xf>
    <xf numFmtId="0" fontId="83" fillId="0" borderId="93" xfId="0" applyFont="1" applyBorder="1" applyAlignment="1">
      <alignment horizontal="center" vertical="center" wrapText="1"/>
    </xf>
    <xf numFmtId="0" fontId="73" fillId="0" borderId="55" xfId="0" applyFont="1" applyBorder="1" applyAlignment="1">
      <alignment horizontal="center" vertical="center"/>
    </xf>
    <xf numFmtId="179" fontId="72" fillId="0" borderId="51" xfId="0" applyNumberFormat="1" applyFont="1" applyBorder="1" applyAlignment="1">
      <alignment vertical="center"/>
    </xf>
    <xf numFmtId="179" fontId="72" fillId="73" borderId="4" xfId="0" applyNumberFormat="1" applyFont="1" applyFill="1" applyBorder="1" applyAlignment="1">
      <alignment vertical="center"/>
    </xf>
    <xf numFmtId="179" fontId="72" fillId="73" borderId="5" xfId="0" applyNumberFormat="1" applyFont="1" applyFill="1" applyBorder="1" applyAlignment="1">
      <alignment vertical="center"/>
    </xf>
    <xf numFmtId="179" fontId="72" fillId="73" borderId="49" xfId="0" applyNumberFormat="1" applyFont="1" applyFill="1" applyBorder="1" applyAlignment="1">
      <alignment vertical="center"/>
    </xf>
    <xf numFmtId="179" fontId="72" fillId="73" borderId="50" xfId="0" applyNumberFormat="1" applyFont="1" applyFill="1" applyBorder="1" applyAlignment="1">
      <alignment vertical="center"/>
    </xf>
    <xf numFmtId="179" fontId="72" fillId="73" borderId="1" xfId="0" applyNumberFormat="1" applyFont="1" applyFill="1" applyBorder="1" applyAlignment="1">
      <alignment vertical="center"/>
    </xf>
    <xf numFmtId="179" fontId="72" fillId="73" borderId="51" xfId="0" applyNumberFormat="1" applyFont="1" applyFill="1" applyBorder="1" applyAlignment="1">
      <alignment vertical="center"/>
    </xf>
    <xf numFmtId="179" fontId="72" fillId="73" borderId="54" xfId="0" applyNumberFormat="1" applyFont="1" applyFill="1" applyBorder="1" applyAlignment="1">
      <alignment vertical="center"/>
    </xf>
    <xf numFmtId="179" fontId="75" fillId="73" borderId="1" xfId="0" applyNumberFormat="1" applyFont="1" applyFill="1" applyBorder="1" applyAlignment="1">
      <alignment vertical="center"/>
    </xf>
    <xf numFmtId="0" fontId="1" fillId="30" borderId="0" xfId="0" applyFont="1" applyFill="1"/>
    <xf numFmtId="0" fontId="81" fillId="0" borderId="4" xfId="0" applyFont="1" applyBorder="1" applyAlignment="1">
      <alignment horizontal="center" vertical="center" wrapText="1"/>
    </xf>
    <xf numFmtId="0" fontId="81" fillId="0" borderId="99" xfId="0" applyFont="1" applyBorder="1" applyAlignment="1">
      <alignment horizontal="center" vertical="center" wrapText="1"/>
    </xf>
    <xf numFmtId="0" fontId="81" fillId="0" borderId="5" xfId="0" applyFont="1" applyBorder="1" applyAlignment="1">
      <alignment horizontal="justify" vertical="center" wrapText="1"/>
    </xf>
    <xf numFmtId="0" fontId="81" fillId="0" borderId="5" xfId="0" applyFont="1" applyBorder="1" applyAlignment="1">
      <alignment horizontal="center" vertical="center" wrapText="1"/>
    </xf>
    <xf numFmtId="164" fontId="1" fillId="0" borderId="49" xfId="0" applyNumberFormat="1" applyFont="1" applyBorder="1" applyAlignment="1">
      <alignment horizontal="center" vertical="center" wrapText="1"/>
    </xf>
    <xf numFmtId="0" fontId="81" fillId="0" borderId="55" xfId="0" applyFont="1" applyBorder="1" applyAlignment="1">
      <alignment horizontal="center" vertical="center" wrapText="1"/>
    </xf>
    <xf numFmtId="0" fontId="81" fillId="0" borderId="1" xfId="0" applyFont="1" applyBorder="1" applyAlignment="1">
      <alignment horizontal="justify" vertical="center" wrapText="1"/>
    </xf>
    <xf numFmtId="0" fontId="81" fillId="0" borderId="1" xfId="0" applyFont="1" applyBorder="1" applyAlignment="1">
      <alignment horizontal="center" vertical="center" wrapText="1"/>
    </xf>
    <xf numFmtId="164" fontId="1" fillId="0" borderId="5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84" fillId="30" borderId="0" xfId="0" applyFont="1" applyFill="1"/>
    <xf numFmtId="0" fontId="1" fillId="30" borderId="0" xfId="0" applyFont="1" applyFill="1" applyAlignment="1">
      <alignment horizontal="center"/>
    </xf>
    <xf numFmtId="179" fontId="69" fillId="0" borderId="60" xfId="0" applyNumberFormat="1" applyFont="1" applyBorder="1" applyAlignment="1">
      <alignment vertical="center" wrapText="1"/>
    </xf>
    <xf numFmtId="179" fontId="72" fillId="2" borderId="51" xfId="0" applyNumberFormat="1" applyFont="1" applyFill="1" applyBorder="1" applyAlignment="1">
      <alignment vertical="center"/>
    </xf>
    <xf numFmtId="179" fontId="72" fillId="73" borderId="52" xfId="0" applyNumberFormat="1" applyFont="1" applyFill="1" applyBorder="1" applyAlignment="1">
      <alignment vertical="center"/>
    </xf>
    <xf numFmtId="179" fontId="75" fillId="73" borderId="52" xfId="0" applyNumberFormat="1" applyFont="1" applyFill="1" applyBorder="1" applyAlignment="1">
      <alignment vertical="center"/>
    </xf>
    <xf numFmtId="179" fontId="72" fillId="0" borderId="52" xfId="0" applyNumberFormat="1" applyFont="1" applyBorder="1" applyAlignment="1">
      <alignment vertical="center"/>
    </xf>
    <xf numFmtId="179" fontId="72" fillId="0" borderId="93" xfId="0" applyNumberFormat="1" applyFont="1" applyBorder="1" applyAlignment="1">
      <alignment vertical="center"/>
    </xf>
    <xf numFmtId="179" fontId="72" fillId="0" borderId="61" xfId="0" applyNumberFormat="1" applyFont="1" applyBorder="1" applyAlignment="1">
      <alignment vertical="center"/>
    </xf>
    <xf numFmtId="179" fontId="72" fillId="0" borderId="100" xfId="0" applyNumberFormat="1" applyFont="1" applyBorder="1" applyAlignment="1">
      <alignment vertical="center"/>
    </xf>
    <xf numFmtId="179" fontId="72" fillId="0" borderId="101" xfId="0" applyNumberFormat="1" applyFont="1" applyBorder="1" applyAlignment="1">
      <alignment vertical="center"/>
    </xf>
    <xf numFmtId="179" fontId="75" fillId="73" borderId="101" xfId="0" applyNumberFormat="1" applyFont="1" applyFill="1" applyBorder="1" applyAlignment="1">
      <alignment vertical="center"/>
    </xf>
    <xf numFmtId="179" fontId="72" fillId="73" borderId="101" xfId="0" applyNumberFormat="1" applyFont="1" applyFill="1" applyBorder="1" applyAlignment="1">
      <alignment vertical="center"/>
    </xf>
    <xf numFmtId="179" fontId="72" fillId="0" borderId="102" xfId="0" applyNumberFormat="1" applyFont="1" applyBorder="1" applyAlignment="1">
      <alignment vertical="center"/>
    </xf>
    <xf numFmtId="0" fontId="70" fillId="74" borderId="67" xfId="0" applyFont="1" applyFill="1" applyBorder="1" applyAlignment="1">
      <alignment horizontal="center" vertical="center" wrapText="1"/>
    </xf>
    <xf numFmtId="0" fontId="70" fillId="74" borderId="64" xfId="0" applyFont="1" applyFill="1" applyBorder="1" applyAlignment="1">
      <alignment horizontal="center" vertical="center" wrapText="1"/>
    </xf>
    <xf numFmtId="0" fontId="70" fillId="74" borderId="103" xfId="0" applyFont="1" applyFill="1" applyBorder="1" applyAlignment="1">
      <alignment horizontal="center" vertical="center" wrapText="1"/>
    </xf>
    <xf numFmtId="0" fontId="70" fillId="30" borderId="67" xfId="0" applyFont="1" applyFill="1" applyBorder="1" applyAlignment="1">
      <alignment horizontal="center" vertical="center" wrapText="1"/>
    </xf>
    <xf numFmtId="0" fontId="70" fillId="30" borderId="64" xfId="0" applyFont="1" applyFill="1" applyBorder="1" applyAlignment="1">
      <alignment horizontal="center" vertical="center" wrapText="1"/>
    </xf>
    <xf numFmtId="0" fontId="69" fillId="30" borderId="103" xfId="0" applyFont="1" applyFill="1" applyBorder="1" applyAlignment="1">
      <alignment horizontal="center" vertical="center" wrapText="1"/>
    </xf>
    <xf numFmtId="0" fontId="73" fillId="0" borderId="104" xfId="0" applyFont="1" applyBorder="1" applyAlignment="1">
      <alignment horizontal="center" vertical="center"/>
    </xf>
    <xf numFmtId="179" fontId="73" fillId="0" borderId="52" xfId="0" applyNumberFormat="1" applyFont="1" applyBorder="1" applyAlignment="1">
      <alignment horizontal="center" vertical="center" wrapText="1"/>
    </xf>
    <xf numFmtId="179" fontId="73" fillId="30" borderId="52" xfId="0" applyNumberFormat="1" applyFont="1" applyFill="1" applyBorder="1" applyAlignment="1">
      <alignment horizontal="center" vertical="center" wrapText="1"/>
    </xf>
    <xf numFmtId="179" fontId="85" fillId="73" borderId="103" xfId="0" applyNumberFormat="1" applyFont="1" applyFill="1" applyBorder="1" applyAlignment="1">
      <alignment horizontal="center" vertical="center" wrapText="1"/>
    </xf>
    <xf numFmtId="164" fontId="73" fillId="30" borderId="52" xfId="3" applyFont="1" applyFill="1" applyBorder="1" applyAlignment="1">
      <alignment vertical="center"/>
    </xf>
    <xf numFmtId="39" fontId="73" fillId="30" borderId="52" xfId="0" applyNumberFormat="1" applyFont="1" applyFill="1" applyBorder="1" applyAlignment="1">
      <alignment horizontal="center" vertical="center"/>
    </xf>
    <xf numFmtId="0" fontId="73" fillId="30" borderId="100" xfId="0" applyFont="1" applyFill="1" applyBorder="1" applyAlignment="1">
      <alignment horizontal="center" vertical="center"/>
    </xf>
    <xf numFmtId="0" fontId="1" fillId="76" borderId="2" xfId="0" applyFont="1" applyFill="1" applyBorder="1"/>
    <xf numFmtId="0" fontId="62" fillId="76" borderId="60" xfId="0" applyFont="1" applyFill="1" applyBorder="1" applyAlignment="1">
      <alignment horizontal="center" vertical="center" wrapText="1"/>
    </xf>
    <xf numFmtId="0" fontId="63" fillId="76" borderId="60" xfId="0" applyFont="1" applyFill="1" applyBorder="1" applyAlignment="1">
      <alignment horizontal="center" vertical="center" wrapText="1"/>
    </xf>
    <xf numFmtId="0" fontId="69" fillId="0" borderId="2" xfId="0" applyFont="1" applyBorder="1" applyAlignment="1">
      <alignment horizontal="center" vertical="center" wrapText="1"/>
    </xf>
    <xf numFmtId="0" fontId="69" fillId="0" borderId="3" xfId="0" applyFont="1" applyBorder="1" applyAlignment="1">
      <alignment horizontal="center" vertical="center" wrapText="1"/>
    </xf>
    <xf numFmtId="0" fontId="1" fillId="0" borderId="0" xfId="0" applyFont="1" applyAlignment="1">
      <alignment horizontal="center" vertical="center" wrapText="1"/>
    </xf>
    <xf numFmtId="0" fontId="62" fillId="76" borderId="2" xfId="0" applyFont="1" applyFill="1" applyBorder="1" applyAlignment="1">
      <alignment horizontal="center" vertical="center" wrapText="1"/>
    </xf>
    <xf numFmtId="0" fontId="62" fillId="76" borderId="98" xfId="0" applyFont="1" applyFill="1" applyBorder="1" applyAlignment="1">
      <alignment horizontal="center" vertical="center" wrapText="1"/>
    </xf>
    <xf numFmtId="0" fontId="63" fillId="76" borderId="2" xfId="0" applyFont="1" applyFill="1" applyBorder="1" applyAlignment="1">
      <alignment horizontal="center" vertical="center" wrapText="1"/>
    </xf>
    <xf numFmtId="0" fontId="63" fillId="76" borderId="3" xfId="0" applyFont="1" applyFill="1" applyBorder="1" applyAlignment="1">
      <alignment horizontal="center" vertical="center" wrapText="1"/>
    </xf>
    <xf numFmtId="0" fontId="63" fillId="76" borderId="98" xfId="0" applyFont="1" applyFill="1" applyBorder="1" applyAlignment="1">
      <alignment horizontal="center" vertical="center" wrapText="1"/>
    </xf>
    <xf numFmtId="0" fontId="67" fillId="29" borderId="56" xfId="0" applyFont="1" applyFill="1" applyBorder="1" applyAlignment="1">
      <alignment horizontal="center" vertical="center" wrapText="1"/>
    </xf>
    <xf numFmtId="0" fontId="67" fillId="29" borderId="12" xfId="0" applyFont="1" applyFill="1" applyBorder="1" applyAlignment="1">
      <alignment horizontal="center" vertical="center" wrapText="1"/>
    </xf>
    <xf numFmtId="0" fontId="67" fillId="29" borderId="78" xfId="0" applyFont="1" applyFill="1" applyBorder="1" applyAlignment="1">
      <alignment horizontal="center" vertical="center" wrapText="1"/>
    </xf>
    <xf numFmtId="0" fontId="67" fillId="29" borderId="80" xfId="0" applyFont="1" applyFill="1" applyBorder="1" applyAlignment="1">
      <alignment horizontal="center" vertical="center" wrapText="1"/>
    </xf>
    <xf numFmtId="0" fontId="67" fillId="29" borderId="0" xfId="0" applyFont="1" applyFill="1" applyAlignment="1">
      <alignment horizontal="center" vertical="center" wrapText="1"/>
    </xf>
    <xf numFmtId="0" fontId="67" fillId="29" borderId="79" xfId="0" applyFont="1" applyFill="1" applyBorder="1" applyAlignment="1">
      <alignment horizontal="center" vertical="center" wrapText="1"/>
    </xf>
    <xf numFmtId="0" fontId="67" fillId="29" borderId="62" xfId="0" applyFont="1" applyFill="1" applyBorder="1" applyAlignment="1">
      <alignment horizontal="center" vertical="center" wrapText="1"/>
    </xf>
    <xf numFmtId="0" fontId="67" fillId="29" borderId="30" xfId="0" applyFont="1" applyFill="1" applyBorder="1" applyAlignment="1">
      <alignment horizontal="center" vertical="center" wrapText="1"/>
    </xf>
    <xf numFmtId="0" fontId="67" fillId="29" borderId="63" xfId="0" applyFont="1" applyFill="1" applyBorder="1" applyAlignment="1">
      <alignment horizontal="center" vertical="center" wrapText="1"/>
    </xf>
    <xf numFmtId="0" fontId="80" fillId="2" borderId="56" xfId="0" applyFont="1" applyFill="1" applyBorder="1" applyAlignment="1">
      <alignment horizontal="center" vertical="center" wrapText="1"/>
    </xf>
    <xf numFmtId="0" fontId="80" fillId="2" borderId="12" xfId="0" applyFont="1" applyFill="1" applyBorder="1" applyAlignment="1">
      <alignment horizontal="center" vertical="center" wrapText="1"/>
    </xf>
    <xf numFmtId="0" fontId="80" fillId="2" borderId="78" xfId="0" applyFont="1" applyFill="1" applyBorder="1" applyAlignment="1">
      <alignment horizontal="center" vertical="center" wrapText="1"/>
    </xf>
    <xf numFmtId="0" fontId="80" fillId="2" borderId="80" xfId="0" applyFont="1" applyFill="1" applyBorder="1" applyAlignment="1">
      <alignment horizontal="center" vertical="center" wrapText="1"/>
    </xf>
    <xf numFmtId="0" fontId="80" fillId="2" borderId="0" xfId="0" applyFont="1" applyFill="1" applyAlignment="1">
      <alignment horizontal="center" vertical="center" wrapText="1"/>
    </xf>
    <xf numFmtId="0" fontId="80" fillId="2" borderId="79" xfId="0" applyFont="1" applyFill="1" applyBorder="1" applyAlignment="1">
      <alignment horizontal="center" vertical="center" wrapText="1"/>
    </xf>
    <xf numFmtId="0" fontId="80" fillId="2" borderId="62" xfId="0" applyFont="1" applyFill="1" applyBorder="1" applyAlignment="1">
      <alignment horizontal="center" vertical="center" wrapText="1"/>
    </xf>
    <xf numFmtId="0" fontId="80" fillId="2" borderId="30" xfId="0" applyFont="1" applyFill="1" applyBorder="1" applyAlignment="1">
      <alignment horizontal="center" vertical="center" wrapText="1"/>
    </xf>
    <xf numFmtId="0" fontId="80" fillId="2" borderId="63" xfId="0" applyFont="1" applyFill="1" applyBorder="1" applyAlignment="1">
      <alignment horizontal="center" vertical="center" wrapText="1"/>
    </xf>
    <xf numFmtId="0" fontId="68" fillId="73" borderId="57" xfId="0" applyFont="1" applyFill="1" applyBorder="1" applyAlignment="1">
      <alignment horizontal="center" vertical="center"/>
    </xf>
    <xf numFmtId="0" fontId="68" fillId="73" borderId="55" xfId="0" applyFont="1" applyFill="1" applyBorder="1" applyAlignment="1">
      <alignment horizontal="center" vertical="center"/>
    </xf>
    <xf numFmtId="0" fontId="68" fillId="74" borderId="56" xfId="0" applyFont="1" applyFill="1" applyBorder="1" applyAlignment="1">
      <alignment horizontal="center" vertical="center" wrapText="1"/>
    </xf>
    <xf numFmtId="0" fontId="68" fillId="74" borderId="12" xfId="0" applyFont="1" applyFill="1" applyBorder="1" applyAlignment="1">
      <alignment horizontal="center" vertical="center" wrapText="1"/>
    </xf>
    <xf numFmtId="0" fontId="68" fillId="74" borderId="62" xfId="0" applyFont="1" applyFill="1" applyBorder="1" applyAlignment="1">
      <alignment horizontal="center" vertical="center" wrapText="1"/>
    </xf>
    <xf numFmtId="0" fontId="68" fillId="74" borderId="30" xfId="0" applyFont="1" applyFill="1" applyBorder="1" applyAlignment="1">
      <alignment horizontal="center" vertical="center" wrapText="1"/>
    </xf>
    <xf numFmtId="0" fontId="69" fillId="74" borderId="2" xfId="0" applyFont="1" applyFill="1" applyBorder="1" applyAlignment="1">
      <alignment horizontal="center" vertical="center" wrapText="1"/>
    </xf>
    <xf numFmtId="0" fontId="69" fillId="74" borderId="3" xfId="0" applyFont="1" applyFill="1" applyBorder="1" applyAlignment="1">
      <alignment horizontal="center" vertical="center" wrapText="1"/>
    </xf>
    <xf numFmtId="0" fontId="71" fillId="74" borderId="2" xfId="0" applyFont="1" applyFill="1" applyBorder="1" applyAlignment="1">
      <alignment horizontal="center" vertical="center" wrapText="1"/>
    </xf>
    <xf numFmtId="0" fontId="71" fillId="74" borderId="3" xfId="0" applyFont="1" applyFill="1" applyBorder="1" applyAlignment="1">
      <alignment horizontal="center" vertical="center" wrapText="1"/>
    </xf>
    <xf numFmtId="0" fontId="71" fillId="74" borderId="66" xfId="0" applyFont="1" applyFill="1" applyBorder="1" applyAlignment="1">
      <alignment horizontal="center" vertical="center" wrapText="1"/>
    </xf>
    <xf numFmtId="0" fontId="71" fillId="74" borderId="92" xfId="0" applyFont="1" applyFill="1" applyBorder="1" applyAlignment="1">
      <alignment horizontal="center" vertical="center" wrapText="1"/>
    </xf>
    <xf numFmtId="0" fontId="62" fillId="0" borderId="81" xfId="0" applyFont="1" applyBorder="1" applyAlignment="1">
      <alignment horizontal="center" vertical="center" wrapText="1"/>
    </xf>
    <xf numFmtId="0" fontId="62" fillId="0" borderId="82" xfId="0" applyFont="1" applyBorder="1" applyAlignment="1">
      <alignment horizontal="center" vertical="center" wrapText="1"/>
    </xf>
    <xf numFmtId="0" fontId="62" fillId="0" borderId="83" xfId="0" applyFont="1" applyBorder="1" applyAlignment="1">
      <alignment horizontal="center" vertical="center" wrapText="1"/>
    </xf>
    <xf numFmtId="0" fontId="62" fillId="0" borderId="86" xfId="0" applyFont="1" applyBorder="1" applyAlignment="1">
      <alignment horizontal="center" vertical="center" wrapText="1"/>
    </xf>
    <xf numFmtId="0" fontId="62" fillId="0" borderId="0" xfId="0" applyFont="1" applyAlignment="1">
      <alignment horizontal="center" vertical="center" wrapText="1"/>
    </xf>
    <xf numFmtId="0" fontId="62" fillId="0" borderId="87" xfId="0" applyFont="1" applyBorder="1" applyAlignment="1">
      <alignment horizontal="center" vertical="center" wrapText="1"/>
    </xf>
    <xf numFmtId="0" fontId="62" fillId="0" borderId="88" xfId="0" applyFont="1" applyBorder="1" applyAlignment="1">
      <alignment horizontal="center" vertical="center" wrapText="1"/>
    </xf>
    <xf numFmtId="0" fontId="62" fillId="0" borderId="89" xfId="0" applyFont="1" applyBorder="1" applyAlignment="1">
      <alignment horizontal="center" vertical="center" wrapText="1"/>
    </xf>
    <xf numFmtId="0" fontId="62" fillId="0" borderId="90" xfId="0" applyFont="1" applyBorder="1" applyAlignment="1">
      <alignment horizontal="center" vertical="center" wrapText="1"/>
    </xf>
    <xf numFmtId="0" fontId="63" fillId="0" borderId="84" xfId="0" applyFont="1" applyBorder="1" applyAlignment="1">
      <alignment horizontal="center" vertical="center" wrapText="1"/>
    </xf>
    <xf numFmtId="0" fontId="63" fillId="0" borderId="85" xfId="0" applyFont="1" applyBorder="1" applyAlignment="1">
      <alignment horizontal="center" vertical="center" wrapText="1"/>
    </xf>
    <xf numFmtId="0" fontId="63" fillId="0" borderId="91" xfId="0" applyFont="1" applyBorder="1" applyAlignment="1">
      <alignment horizontal="center" vertical="center" wrapText="1"/>
    </xf>
    <xf numFmtId="0" fontId="65" fillId="0" borderId="84" xfId="0" applyFont="1" applyBorder="1" applyAlignment="1">
      <alignment horizontal="left" vertical="center" wrapText="1"/>
    </xf>
    <xf numFmtId="0" fontId="65" fillId="0" borderId="85" xfId="0" applyFont="1" applyBorder="1" applyAlignment="1">
      <alignment horizontal="left" vertical="center" wrapText="1"/>
    </xf>
    <xf numFmtId="0" fontId="65" fillId="0" borderId="91" xfId="0" applyFont="1" applyBorder="1" applyAlignment="1">
      <alignment horizontal="left" vertical="center" wrapText="1"/>
    </xf>
    <xf numFmtId="0" fontId="74" fillId="0" borderId="59" xfId="0" applyFont="1" applyBorder="1" applyAlignment="1">
      <alignment horizontal="center" vertical="center" wrapText="1"/>
    </xf>
    <xf numFmtId="0" fontId="74" fillId="0" borderId="94" xfId="0" applyFont="1" applyBorder="1" applyAlignment="1">
      <alignment horizontal="center" vertical="center" wrapText="1"/>
    </xf>
    <xf numFmtId="0" fontId="74" fillId="0" borderId="95" xfId="0" applyFont="1" applyBorder="1" applyAlignment="1">
      <alignment horizontal="center" vertical="center" wrapText="1"/>
    </xf>
    <xf numFmtId="164" fontId="72" fillId="30" borderId="65" xfId="3" applyFont="1" applyFill="1" applyBorder="1" applyAlignment="1">
      <alignment horizontal="center" vertical="center"/>
    </xf>
    <xf numFmtId="164" fontId="72" fillId="30" borderId="97" xfId="3" applyFont="1" applyFill="1" applyBorder="1" applyAlignment="1">
      <alignment horizontal="center" vertical="center"/>
    </xf>
    <xf numFmtId="164" fontId="72" fillId="30" borderId="96" xfId="3" applyFont="1" applyFill="1" applyBorder="1" applyAlignment="1">
      <alignment horizontal="center" vertical="center"/>
    </xf>
    <xf numFmtId="0" fontId="72" fillId="0" borderId="0" xfId="0" applyFont="1" applyAlignment="1">
      <alignment horizontal="center" vertical="center" wrapText="1"/>
    </xf>
    <xf numFmtId="0" fontId="76" fillId="30" borderId="12" xfId="0" applyFont="1" applyFill="1" applyBorder="1" applyAlignment="1">
      <alignment horizontal="left" vertical="top" wrapText="1"/>
    </xf>
    <xf numFmtId="0" fontId="78" fillId="30" borderId="0" xfId="0" applyFont="1" applyFill="1" applyAlignment="1">
      <alignment horizontal="left" wrapText="1"/>
    </xf>
    <xf numFmtId="0" fontId="69" fillId="74" borderId="56" xfId="0" applyFont="1" applyFill="1" applyBorder="1" applyAlignment="1">
      <alignment horizontal="center" vertical="center" wrapText="1"/>
    </xf>
    <xf numFmtId="0" fontId="69" fillId="74" borderId="12" xfId="0" applyFont="1" applyFill="1" applyBorder="1" applyAlignment="1">
      <alignment horizontal="center" vertical="center" wrapText="1"/>
    </xf>
    <xf numFmtId="0" fontId="71" fillId="74" borderId="98" xfId="0" applyFont="1" applyFill="1" applyBorder="1" applyAlignment="1">
      <alignment horizontal="center" vertical="center" wrapText="1"/>
    </xf>
    <xf numFmtId="0" fontId="71" fillId="74" borderId="80" xfId="0" applyFont="1" applyFill="1" applyBorder="1" applyAlignment="1">
      <alignment horizontal="center" vertical="center" wrapText="1"/>
    </xf>
    <xf numFmtId="0" fontId="71" fillId="74" borderId="0" xfId="0" applyFont="1" applyFill="1" applyAlignment="1">
      <alignment horizontal="center" vertical="center" wrapText="1"/>
    </xf>
    <xf numFmtId="0" fontId="85" fillId="73" borderId="2" xfId="0" applyFont="1" applyFill="1" applyBorder="1" applyAlignment="1">
      <alignment horizontal="center" vertical="center"/>
    </xf>
    <xf numFmtId="0" fontId="85" fillId="73" borderId="92" xfId="0" applyFont="1" applyFill="1" applyBorder="1" applyAlignment="1">
      <alignment horizontal="center" vertical="center"/>
    </xf>
    <xf numFmtId="0" fontId="76" fillId="30" borderId="0" xfId="0" applyFont="1" applyFill="1" applyAlignment="1">
      <alignment horizontal="left" vertical="top" wrapText="1"/>
    </xf>
    <xf numFmtId="0" fontId="74" fillId="0" borderId="2" xfId="0" applyFont="1" applyBorder="1" applyAlignment="1">
      <alignment horizontal="center" vertical="center" wrapText="1"/>
    </xf>
    <xf numFmtId="0" fontId="74" fillId="0" borderId="3" xfId="0" applyFont="1" applyBorder="1" applyAlignment="1">
      <alignment horizontal="center" vertical="center" wrapText="1"/>
    </xf>
    <xf numFmtId="0" fontId="74" fillId="0" borderId="98" xfId="0" applyFont="1" applyBorder="1" applyAlignment="1">
      <alignment horizontal="center" vertical="center" wrapText="1"/>
    </xf>
    <xf numFmtId="164" fontId="72" fillId="30" borderId="2" xfId="3" applyFont="1" applyFill="1" applyBorder="1" applyAlignment="1">
      <alignment horizontal="center" vertical="center"/>
    </xf>
    <xf numFmtId="164" fontId="72" fillId="30" borderId="3" xfId="3" applyFont="1" applyFill="1" applyBorder="1" applyAlignment="1">
      <alignment horizontal="center" vertical="center"/>
    </xf>
    <xf numFmtId="164" fontId="72" fillId="30" borderId="98" xfId="3" applyFont="1" applyFill="1" applyBorder="1" applyAlignment="1">
      <alignment horizontal="center" vertical="center"/>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cellXfs>
  <cellStyles count="1574">
    <cellStyle name="2" xfId="1408" xr:uid="{00000000-0005-0000-0000-000000000000}"/>
    <cellStyle name="20% - Accent1" xfId="5" xr:uid="{00000000-0005-0000-0000-000001000000}"/>
    <cellStyle name="20% - Accent1 2" xfId="1409" xr:uid="{00000000-0005-0000-0000-000002000000}"/>
    <cellStyle name="20% - Accent1_Estaciones TM-21-SEP-2011" xfId="1410" xr:uid="{00000000-0005-0000-0000-000003000000}"/>
    <cellStyle name="20% - Accent2" xfId="6" xr:uid="{00000000-0005-0000-0000-000004000000}"/>
    <cellStyle name="20% - Accent2 2" xfId="1411" xr:uid="{00000000-0005-0000-0000-000005000000}"/>
    <cellStyle name="20% - Accent2_Estaciones TM-21-SEP-2011" xfId="1412" xr:uid="{00000000-0005-0000-0000-000006000000}"/>
    <cellStyle name="20% - Accent3" xfId="7" xr:uid="{00000000-0005-0000-0000-000007000000}"/>
    <cellStyle name="20% - Accent3 2" xfId="1413" xr:uid="{00000000-0005-0000-0000-000008000000}"/>
    <cellStyle name="20% - Accent3_Estaciones TM-21-SEP-2011" xfId="1414" xr:uid="{00000000-0005-0000-0000-000009000000}"/>
    <cellStyle name="20% - Accent4" xfId="8" xr:uid="{00000000-0005-0000-0000-00000A000000}"/>
    <cellStyle name="20% - Accent4 2" xfId="1415" xr:uid="{00000000-0005-0000-0000-00000B000000}"/>
    <cellStyle name="20% - Accent4_Estaciones TM-21-SEP-2011" xfId="1416" xr:uid="{00000000-0005-0000-0000-00000C000000}"/>
    <cellStyle name="20% - Accent5" xfId="9" xr:uid="{00000000-0005-0000-0000-00000D000000}"/>
    <cellStyle name="20% - Accent5 2" xfId="1417" xr:uid="{00000000-0005-0000-0000-00000E000000}"/>
    <cellStyle name="20% - Accent5_Estaciones TM-21-SEP-2011" xfId="1418" xr:uid="{00000000-0005-0000-0000-00000F000000}"/>
    <cellStyle name="20% - Accent6" xfId="10" xr:uid="{00000000-0005-0000-0000-000010000000}"/>
    <cellStyle name="20% - Accent6 2" xfId="1419" xr:uid="{00000000-0005-0000-0000-000011000000}"/>
    <cellStyle name="20% - Accent6_Estaciones TM-21-SEP-2011" xfId="1420" xr:uid="{00000000-0005-0000-0000-000012000000}"/>
    <cellStyle name="20% - Énfasis1" xfId="1543"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6"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0"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4"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58"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2"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1" xr:uid="{00000000-0005-0000-0000-0000D4000000}"/>
    <cellStyle name="40% - Accent1_Estaciones TM-21-SEP-2011" xfId="1422" xr:uid="{00000000-0005-0000-0000-0000D5000000}"/>
    <cellStyle name="40% - Accent2" xfId="198" xr:uid="{00000000-0005-0000-0000-0000D6000000}"/>
    <cellStyle name="40% - Accent2 2" xfId="1423" xr:uid="{00000000-0005-0000-0000-0000D7000000}"/>
    <cellStyle name="40% - Accent2_Estaciones TM-21-SEP-2011" xfId="1424" xr:uid="{00000000-0005-0000-0000-0000D8000000}"/>
    <cellStyle name="40% - Accent3" xfId="199" xr:uid="{00000000-0005-0000-0000-0000D9000000}"/>
    <cellStyle name="40% - Accent3 2" xfId="1425" xr:uid="{00000000-0005-0000-0000-0000DA000000}"/>
    <cellStyle name="40% - Accent3_Estaciones TM-21-SEP-2011" xfId="1426" xr:uid="{00000000-0005-0000-0000-0000DB000000}"/>
    <cellStyle name="40% - Accent4" xfId="200" xr:uid="{00000000-0005-0000-0000-0000DC000000}"/>
    <cellStyle name="40% - Accent4 2" xfId="1427" xr:uid="{00000000-0005-0000-0000-0000DD000000}"/>
    <cellStyle name="40% - Accent4_Estaciones TM-21-SEP-2011" xfId="1428" xr:uid="{00000000-0005-0000-0000-0000DE000000}"/>
    <cellStyle name="40% - Accent5" xfId="201" xr:uid="{00000000-0005-0000-0000-0000DF000000}"/>
    <cellStyle name="40% - Accent5 2" xfId="1429" xr:uid="{00000000-0005-0000-0000-0000E0000000}"/>
    <cellStyle name="40% - Accent5_Estaciones TM-21-SEP-2011" xfId="1430" xr:uid="{00000000-0005-0000-0000-0000E1000000}"/>
    <cellStyle name="40% - Accent6" xfId="202" xr:uid="{00000000-0005-0000-0000-0000E2000000}"/>
    <cellStyle name="40% - Accent6 2" xfId="1431" xr:uid="{00000000-0005-0000-0000-0000E3000000}"/>
    <cellStyle name="40% - Accent6_Estaciones TM-21-SEP-2011" xfId="1432" xr:uid="{00000000-0005-0000-0000-0000E4000000}"/>
    <cellStyle name="40% - Énfasis1" xfId="1544"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7"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1"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5"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59"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3"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5"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48"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2"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6"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0"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4"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3" xr:uid="{00000000-0005-0000-0000-000071020000}"/>
    <cellStyle name="Bad" xfId="587" xr:uid="{00000000-0005-0000-0000-000072020000}"/>
    <cellStyle name="BORDES TITU. INT." xfId="1435"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0" builtinId="26" customBuiltin="1"/>
    <cellStyle name="Calculation" xfId="619" xr:uid="{00000000-0005-0000-0000-000094020000}"/>
    <cellStyle name="Cálculo" xfId="1535"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7"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6"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6" xr:uid="{00000000-0005-0000-0000-0000F6020000}"/>
    <cellStyle name="Comma0 2" xfId="1437" xr:uid="{00000000-0005-0000-0000-0000F7020000}"/>
    <cellStyle name="Currency0" xfId="1438" xr:uid="{00000000-0005-0000-0000-0000F8020000}"/>
    <cellStyle name="Currency0 2" xfId="1439" xr:uid="{00000000-0005-0000-0000-0000F9020000}"/>
    <cellStyle name="Date" xfId="1440" xr:uid="{00000000-0005-0000-0000-0000FA020000}"/>
    <cellStyle name="Date 2" xfId="1441" xr:uid="{00000000-0005-0000-0000-0000FB020000}"/>
    <cellStyle name="Encabezado 1" xfId="1526" builtinId="16" customBuiltin="1"/>
    <cellStyle name="Encabezado 4" xfId="1529"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2" xr:uid="{00000000-0005-0000-0000-00001D030000}"/>
    <cellStyle name="Énfasis 2" xfId="1443" xr:uid="{00000000-0005-0000-0000-00001E030000}"/>
    <cellStyle name="Énfasis 3" xfId="1444" xr:uid="{00000000-0005-0000-0000-00001F030000}"/>
    <cellStyle name="Énfasis1" xfId="1542" builtinId="29" customBuiltin="1"/>
    <cellStyle name="Énfasis1 - 20%" xfId="1445" xr:uid="{00000000-0005-0000-0000-000021030000}"/>
    <cellStyle name="Énfasis1 - 40%" xfId="1446" xr:uid="{00000000-0005-0000-0000-000022030000}"/>
    <cellStyle name="Énfasis1 - 60%" xfId="1447"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4" builtinId="33" customBuiltin="1"/>
    <cellStyle name="Énfasis2 - 20%" xfId="1448" xr:uid="{00000000-0005-0000-0000-000044030000}"/>
    <cellStyle name="Énfasis2 - 40%" xfId="1449" xr:uid="{00000000-0005-0000-0000-000045030000}"/>
    <cellStyle name="Énfasis2 - 60%" xfId="1450"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49" builtinId="37" customBuiltin="1"/>
    <cellStyle name="Énfasis3 - 20%" xfId="1451" xr:uid="{00000000-0005-0000-0000-000067030000}"/>
    <cellStyle name="Énfasis3 - 40%" xfId="1452" xr:uid="{00000000-0005-0000-0000-000068030000}"/>
    <cellStyle name="Énfasis3 - 60%" xfId="1453"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3" builtinId="41" customBuiltin="1"/>
    <cellStyle name="Énfasis4 - 20%" xfId="1454" xr:uid="{00000000-0005-0000-0000-00008A030000}"/>
    <cellStyle name="Énfasis4 - 40%" xfId="1455" xr:uid="{00000000-0005-0000-0000-00008B030000}"/>
    <cellStyle name="Énfasis4 - 60%" xfId="1456"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7" builtinId="45" customBuiltin="1"/>
    <cellStyle name="Énfasis5 - 20%" xfId="1457" xr:uid="{00000000-0005-0000-0000-0000AD030000}"/>
    <cellStyle name="Énfasis5 - 40%" xfId="1458" xr:uid="{00000000-0005-0000-0000-0000AE030000}"/>
    <cellStyle name="Énfasis5 - 60%" xfId="1459"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1" builtinId="49" customBuiltin="1"/>
    <cellStyle name="Énfasis6 - 20%" xfId="1460" xr:uid="{00000000-0005-0000-0000-0000D0030000}"/>
    <cellStyle name="Énfasis6 - 40%" xfId="1461" xr:uid="{00000000-0005-0000-0000-0000D1030000}"/>
    <cellStyle name="Énfasis6 - 60%" xfId="1462"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3"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3" xr:uid="{00000000-0005-0000-0000-000012040000}"/>
    <cellStyle name="Euro" xfId="962" xr:uid="{00000000-0005-0000-0000-000013040000}"/>
    <cellStyle name="Euro 2" xfId="1465" xr:uid="{00000000-0005-0000-0000-000014040000}"/>
    <cellStyle name="Euro 2 2" xfId="1571" xr:uid="{00000000-0005-0000-0000-000015040000}"/>
    <cellStyle name="Euro 3" xfId="1466" xr:uid="{00000000-0005-0000-0000-000016040000}"/>
    <cellStyle name="Euro 4" xfId="1467" xr:uid="{00000000-0005-0000-0000-000017040000}"/>
    <cellStyle name="Euro 5" xfId="1464" xr:uid="{00000000-0005-0000-0000-000018040000}"/>
    <cellStyle name="Euro 6" xfId="1568" xr:uid="{00000000-0005-0000-0000-000019040000}"/>
    <cellStyle name="Euro_Acabados" xfId="1468" xr:uid="{00000000-0005-0000-0000-00001A040000}"/>
    <cellStyle name="Excel Built-in Normal 1" xfId="1566" xr:uid="{00000000-0005-0000-0000-00001B040000}"/>
    <cellStyle name="Explanatory Text" xfId="963" xr:uid="{00000000-0005-0000-0000-00001C040000}"/>
    <cellStyle name="Fixed" xfId="1469" xr:uid="{00000000-0005-0000-0000-00001D040000}"/>
    <cellStyle name="Fixed 2" xfId="1470"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69" xr:uid="{00000000-0005-0000-0000-000025040000}"/>
    <cellStyle name="Hipervínculo 2 3" xfId="1567" xr:uid="{00000000-0005-0000-0000-000026040000}"/>
    <cellStyle name="Hipervínculo 3" xfId="1565" xr:uid="{00000000-0005-0000-0000-000027040000}"/>
    <cellStyle name="Incorrecto" xfId="1531"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0] 2" xfId="1471" xr:uid="{00000000-0005-0000-0000-00004B040000}"/>
    <cellStyle name="Millares 2" xfId="1" xr:uid="{00000000-0005-0000-0000-00004C040000}"/>
    <cellStyle name="Millares 2 2" xfId="1003" xr:uid="{00000000-0005-0000-0000-00004D040000}"/>
    <cellStyle name="Millares 2 2 2" xfId="1473" xr:uid="{00000000-0005-0000-0000-00004E040000}"/>
    <cellStyle name="Millares 2 3" xfId="1004" xr:uid="{00000000-0005-0000-0000-00004F040000}"/>
    <cellStyle name="Millares 2 4" xfId="1005" xr:uid="{00000000-0005-0000-0000-000050040000}"/>
    <cellStyle name="Millares 2 5" xfId="1403" xr:uid="{00000000-0005-0000-0000-000051040000}"/>
    <cellStyle name="Millares 2 5 2" xfId="1572" xr:uid="{00000000-0005-0000-0000-000052040000}"/>
    <cellStyle name="Millares 2 6" xfId="1472" xr:uid="{00000000-0005-0000-0000-000053040000}"/>
    <cellStyle name="Millares 2 7" xfId="1570"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4"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5" xr:uid="{00000000-0005-0000-0000-00005C040000}"/>
    <cellStyle name="Millares 4_4,8" xfId="1012" xr:uid="{00000000-0005-0000-0000-00005D040000}"/>
    <cellStyle name="Millares 5" xfId="1013" xr:uid="{00000000-0005-0000-0000-00005E040000}"/>
    <cellStyle name="Millares 5 2" xfId="1476" xr:uid="{00000000-0005-0000-0000-00005F040000}"/>
    <cellStyle name="Millares 6" xfId="1014" xr:uid="{00000000-0005-0000-0000-000060040000}"/>
    <cellStyle name="Millares 7" xfId="1477" xr:uid="{00000000-0005-0000-0000-000061040000}"/>
    <cellStyle name="Millares 8" xfId="1406" xr:uid="{00000000-0005-0000-0000-000062040000}"/>
    <cellStyle name="Millares 9" xfId="1478" xr:uid="{00000000-0005-0000-0000-000063040000}"/>
    <cellStyle name="Moneda" xfId="3" builtinId="4"/>
    <cellStyle name="Moneda [0] 2" xfId="1479" xr:uid="{00000000-0005-0000-0000-000065040000}"/>
    <cellStyle name="Moneda 2" xfId="1015" xr:uid="{00000000-0005-0000-0000-000066040000}"/>
    <cellStyle name="Moneda 2 2" xfId="1016" xr:uid="{00000000-0005-0000-0000-000067040000}"/>
    <cellStyle name="Moneda 2 3" xfId="1480" xr:uid="{00000000-0005-0000-0000-000068040000}"/>
    <cellStyle name="Moneda 2_4,8" xfId="1017" xr:uid="{00000000-0005-0000-0000-000069040000}"/>
    <cellStyle name="Moneda 3" xfId="1018" xr:uid="{00000000-0005-0000-0000-00006A040000}"/>
    <cellStyle name="Moneda 3 2" xfId="1019" xr:uid="{00000000-0005-0000-0000-00006B040000}"/>
    <cellStyle name="Moneda 3 2 2" xfId="1483" xr:uid="{00000000-0005-0000-0000-00006C040000}"/>
    <cellStyle name="Moneda 3 2 3" xfId="1482" xr:uid="{00000000-0005-0000-0000-00006D040000}"/>
    <cellStyle name="Moneda 3 3" xfId="1484" xr:uid="{00000000-0005-0000-0000-00006E040000}"/>
    <cellStyle name="Moneda 3 3 2" xfId="1485" xr:uid="{00000000-0005-0000-0000-00006F040000}"/>
    <cellStyle name="Moneda 3 4" xfId="1486" xr:uid="{00000000-0005-0000-0000-000070040000}"/>
    <cellStyle name="Moneda 3 5" xfId="1481" xr:uid="{00000000-0005-0000-0000-000071040000}"/>
    <cellStyle name="Moneda 3_4,8" xfId="1020" xr:uid="{00000000-0005-0000-0000-000072040000}"/>
    <cellStyle name="Moneda 4" xfId="1021" xr:uid="{00000000-0005-0000-0000-000073040000}"/>
    <cellStyle name="Moneda 4 2" xfId="1487" xr:uid="{00000000-0005-0000-0000-000074040000}"/>
    <cellStyle name="Moneda 5" xfId="1022" xr:uid="{00000000-0005-0000-0000-000075040000}"/>
    <cellStyle name="Moneda 5 2" xfId="1488" xr:uid="{00000000-0005-0000-0000-000076040000}"/>
    <cellStyle name="Moneda 6" xfId="1489" xr:uid="{00000000-0005-0000-0000-000077040000}"/>
    <cellStyle name="Moneda 7" xfId="1523" xr:uid="{00000000-0005-0000-0000-000078040000}"/>
    <cellStyle name="Moneda 8" xfId="1524" xr:uid="{00000000-0005-0000-0000-000079040000}"/>
    <cellStyle name="Moneda 9" xfId="1573" xr:uid="{00000000-0005-0000-0000-00007A040000}"/>
    <cellStyle name="Monetario0" xfId="1023" xr:uid="{00000000-0005-0000-0000-00007B040000}"/>
    <cellStyle name="Neutral" xfId="1532" builtinId="28" customBuiltin="1"/>
    <cellStyle name="Neutral 10" xfId="1024" xr:uid="{00000000-0005-0000-0000-00007D040000}"/>
    <cellStyle name="Neutral 11" xfId="1025" xr:uid="{00000000-0005-0000-0000-00007E040000}"/>
    <cellStyle name="Neutral 12" xfId="1026" xr:uid="{00000000-0005-0000-0000-00007F040000}"/>
    <cellStyle name="Neutral 13" xfId="1027" xr:uid="{00000000-0005-0000-0000-000080040000}"/>
    <cellStyle name="Neutral 14" xfId="1028" xr:uid="{00000000-0005-0000-0000-000081040000}"/>
    <cellStyle name="Neutral 15" xfId="1029" xr:uid="{00000000-0005-0000-0000-000082040000}"/>
    <cellStyle name="Neutral 16" xfId="1030" xr:uid="{00000000-0005-0000-0000-000083040000}"/>
    <cellStyle name="Neutral 17" xfId="1031" xr:uid="{00000000-0005-0000-0000-000084040000}"/>
    <cellStyle name="Neutral 18" xfId="1032" xr:uid="{00000000-0005-0000-0000-000085040000}"/>
    <cellStyle name="Neutral 19" xfId="1033" xr:uid="{00000000-0005-0000-0000-000086040000}"/>
    <cellStyle name="Neutral 2" xfId="1034" xr:uid="{00000000-0005-0000-0000-000087040000}"/>
    <cellStyle name="Neutral 20" xfId="1035" xr:uid="{00000000-0005-0000-0000-000088040000}"/>
    <cellStyle name="Neutral 21" xfId="1036" xr:uid="{00000000-0005-0000-0000-000089040000}"/>
    <cellStyle name="Neutral 22" xfId="1037" xr:uid="{00000000-0005-0000-0000-00008A040000}"/>
    <cellStyle name="Neutral 23" xfId="1038" xr:uid="{00000000-0005-0000-0000-00008B040000}"/>
    <cellStyle name="Neutral 24" xfId="1039" xr:uid="{00000000-0005-0000-0000-00008C040000}"/>
    <cellStyle name="Neutral 25" xfId="1040" xr:uid="{00000000-0005-0000-0000-00008D040000}"/>
    <cellStyle name="Neutral 26" xfId="1041" xr:uid="{00000000-0005-0000-0000-00008E040000}"/>
    <cellStyle name="Neutral 27" xfId="1042" xr:uid="{00000000-0005-0000-0000-00008F040000}"/>
    <cellStyle name="Neutral 28" xfId="1043" xr:uid="{00000000-0005-0000-0000-000090040000}"/>
    <cellStyle name="Neutral 29" xfId="1044" xr:uid="{00000000-0005-0000-0000-000091040000}"/>
    <cellStyle name="Neutral 3" xfId="1045" xr:uid="{00000000-0005-0000-0000-000092040000}"/>
    <cellStyle name="Neutral 30" xfId="1046" xr:uid="{00000000-0005-0000-0000-000093040000}"/>
    <cellStyle name="Neutral 31" xfId="1047" xr:uid="{00000000-0005-0000-0000-000094040000}"/>
    <cellStyle name="Neutral 32" xfId="1048" xr:uid="{00000000-0005-0000-0000-000095040000}"/>
    <cellStyle name="Neutral 4" xfId="1049" xr:uid="{00000000-0005-0000-0000-000096040000}"/>
    <cellStyle name="Neutral 5" xfId="1050" xr:uid="{00000000-0005-0000-0000-000097040000}"/>
    <cellStyle name="Neutral 6" xfId="1051" xr:uid="{00000000-0005-0000-0000-000098040000}"/>
    <cellStyle name="Neutral 7" xfId="1052" xr:uid="{00000000-0005-0000-0000-000099040000}"/>
    <cellStyle name="Neutral 8" xfId="1053" xr:uid="{00000000-0005-0000-0000-00009A040000}"/>
    <cellStyle name="Neutral 9" xfId="1054" xr:uid="{00000000-0005-0000-0000-00009B040000}"/>
    <cellStyle name="Normal" xfId="0" builtinId="0"/>
    <cellStyle name="Normal 10" xfId="1055" xr:uid="{00000000-0005-0000-0000-00009D040000}"/>
    <cellStyle name="Normal 12" xfId="1056" xr:uid="{00000000-0005-0000-0000-00009E040000}"/>
    <cellStyle name="Normal 12 2" xfId="1405" xr:uid="{00000000-0005-0000-0000-00009F040000}"/>
    <cellStyle name="Normal 2" xfId="4" xr:uid="{00000000-0005-0000-0000-0000A0040000}"/>
    <cellStyle name="Normal 2 10" xfId="1057" xr:uid="{00000000-0005-0000-0000-0000A1040000}"/>
    <cellStyle name="Normal 2 10 2" xfId="1058" xr:uid="{00000000-0005-0000-0000-0000A2040000}"/>
    <cellStyle name="Normal 2 10 3" xfId="1059" xr:uid="{00000000-0005-0000-0000-0000A3040000}"/>
    <cellStyle name="Normal 2 10 4" xfId="1060" xr:uid="{00000000-0005-0000-0000-0000A4040000}"/>
    <cellStyle name="Normal 2 10 5" xfId="1061" xr:uid="{00000000-0005-0000-0000-0000A5040000}"/>
    <cellStyle name="Normal 2 10 6" xfId="1062" xr:uid="{00000000-0005-0000-0000-0000A6040000}"/>
    <cellStyle name="Normal 2 10 7" xfId="1063" xr:uid="{00000000-0005-0000-0000-0000A7040000}"/>
    <cellStyle name="Normal 2 10 8" xfId="1064" xr:uid="{00000000-0005-0000-0000-0000A8040000}"/>
    <cellStyle name="Normal 2 107" xfId="1065" xr:uid="{00000000-0005-0000-0000-0000A9040000}"/>
    <cellStyle name="Normal 2 11" xfId="1066" xr:uid="{00000000-0005-0000-0000-0000AA040000}"/>
    <cellStyle name="Normal 2 12" xfId="1067" xr:uid="{00000000-0005-0000-0000-0000AB040000}"/>
    <cellStyle name="Normal 2 13" xfId="1068" xr:uid="{00000000-0005-0000-0000-0000AC040000}"/>
    <cellStyle name="Normal 2 14" xfId="1069" xr:uid="{00000000-0005-0000-0000-0000AD040000}"/>
    <cellStyle name="Normal 2 15" xfId="1070" xr:uid="{00000000-0005-0000-0000-0000AE040000}"/>
    <cellStyle name="Normal 2 16" xfId="1071" xr:uid="{00000000-0005-0000-0000-0000AF040000}"/>
    <cellStyle name="Normal 2 17" xfId="1072" xr:uid="{00000000-0005-0000-0000-0000B0040000}"/>
    <cellStyle name="Normal 2 18" xfId="1073" xr:uid="{00000000-0005-0000-0000-0000B1040000}"/>
    <cellStyle name="Normal 2 19" xfId="1074" xr:uid="{00000000-0005-0000-0000-0000B2040000}"/>
    <cellStyle name="Normal 2 2" xfId="1075" xr:uid="{00000000-0005-0000-0000-0000B3040000}"/>
    <cellStyle name="Normal 2 2 2" xfId="1076" xr:uid="{00000000-0005-0000-0000-0000B4040000}"/>
    <cellStyle name="Normal 2 2 2 2" xfId="1490" xr:uid="{00000000-0005-0000-0000-0000B5040000}"/>
    <cellStyle name="Normal 2 2 3" xfId="1491" xr:uid="{00000000-0005-0000-0000-0000B6040000}"/>
    <cellStyle name="Normal 2 2 4" xfId="1492" xr:uid="{00000000-0005-0000-0000-0000B7040000}"/>
    <cellStyle name="Normal 2 2_Copia de PRESUPUESTO POR CAPITULOS MARZO-25-11-ULTIMO" xfId="1493" xr:uid="{00000000-0005-0000-0000-0000B8040000}"/>
    <cellStyle name="Normal 2 20" xfId="1077" xr:uid="{00000000-0005-0000-0000-0000B9040000}"/>
    <cellStyle name="Normal 2 21" xfId="1078" xr:uid="{00000000-0005-0000-0000-0000BA040000}"/>
    <cellStyle name="Normal 2 22" xfId="1079" xr:uid="{00000000-0005-0000-0000-0000BB040000}"/>
    <cellStyle name="Normal 2 23" xfId="1080" xr:uid="{00000000-0005-0000-0000-0000BC040000}"/>
    <cellStyle name="Normal 2 24" xfId="1081" xr:uid="{00000000-0005-0000-0000-0000BD040000}"/>
    <cellStyle name="Normal 2 25" xfId="1082" xr:uid="{00000000-0005-0000-0000-0000BE040000}"/>
    <cellStyle name="Normal 2 26" xfId="1083" xr:uid="{00000000-0005-0000-0000-0000BF040000}"/>
    <cellStyle name="Normal 2 27" xfId="1084" xr:uid="{00000000-0005-0000-0000-0000C0040000}"/>
    <cellStyle name="Normal 2 28" xfId="1085" xr:uid="{00000000-0005-0000-0000-0000C1040000}"/>
    <cellStyle name="Normal 2 29" xfId="1086" xr:uid="{00000000-0005-0000-0000-0000C2040000}"/>
    <cellStyle name="Normal 2 3" xfId="1087" xr:uid="{00000000-0005-0000-0000-0000C3040000}"/>
    <cellStyle name="Normal 2 3 2" xfId="1494" xr:uid="{00000000-0005-0000-0000-0000C4040000}"/>
    <cellStyle name="Normal 2 30" xfId="1088" xr:uid="{00000000-0005-0000-0000-0000C5040000}"/>
    <cellStyle name="Normal 2 31" xfId="1089" xr:uid="{00000000-0005-0000-0000-0000C6040000}"/>
    <cellStyle name="Normal 2 32" xfId="1090" xr:uid="{00000000-0005-0000-0000-0000C7040000}"/>
    <cellStyle name="Normal 2 33" xfId="1091" xr:uid="{00000000-0005-0000-0000-0000C8040000}"/>
    <cellStyle name="Normal 2 34" xfId="1092" xr:uid="{00000000-0005-0000-0000-0000C9040000}"/>
    <cellStyle name="Normal 2 35" xfId="1093" xr:uid="{00000000-0005-0000-0000-0000CA040000}"/>
    <cellStyle name="Normal 2 36" xfId="1094" xr:uid="{00000000-0005-0000-0000-0000CB040000}"/>
    <cellStyle name="Normal 2 37" xfId="1095" xr:uid="{00000000-0005-0000-0000-0000CC040000}"/>
    <cellStyle name="Normal 2 38" xfId="1096" xr:uid="{00000000-0005-0000-0000-0000CD040000}"/>
    <cellStyle name="Normal 2 39" xfId="1097" xr:uid="{00000000-0005-0000-0000-0000CE040000}"/>
    <cellStyle name="Normal 2 4" xfId="1098" xr:uid="{00000000-0005-0000-0000-0000CF040000}"/>
    <cellStyle name="Normal 2 4 2" xfId="1495" xr:uid="{00000000-0005-0000-0000-0000D0040000}"/>
    <cellStyle name="Normal 2 40" xfId="1099" xr:uid="{00000000-0005-0000-0000-0000D1040000}"/>
    <cellStyle name="Normal 2 5" xfId="1100" xr:uid="{00000000-0005-0000-0000-0000D2040000}"/>
    <cellStyle name="Normal 2 5 2" xfId="1496" xr:uid="{00000000-0005-0000-0000-0000D3040000}"/>
    <cellStyle name="Normal 2 6" xfId="1101" xr:uid="{00000000-0005-0000-0000-0000D4040000}"/>
    <cellStyle name="Normal 2 7" xfId="1102" xr:uid="{00000000-0005-0000-0000-0000D5040000}"/>
    <cellStyle name="Normal 2 8" xfId="1103" xr:uid="{00000000-0005-0000-0000-0000D6040000}"/>
    <cellStyle name="Normal 2 9" xfId="1104" xr:uid="{00000000-0005-0000-0000-0000D7040000}"/>
    <cellStyle name="Normal 2_Copia de Cuadro APU General Seguridad Electronica Festo 01-12-2008" xfId="1497" xr:uid="{00000000-0005-0000-0000-0000D8040000}"/>
    <cellStyle name="Normal 3" xfId="2" xr:uid="{00000000-0005-0000-0000-0000D9040000}"/>
    <cellStyle name="Normal 3 2" xfId="1105" xr:uid="{00000000-0005-0000-0000-0000DA040000}"/>
    <cellStyle name="Normal 3 2 2" xfId="1499" xr:uid="{00000000-0005-0000-0000-0000DB040000}"/>
    <cellStyle name="Normal 3 3" xfId="1500" xr:uid="{00000000-0005-0000-0000-0000DC040000}"/>
    <cellStyle name="Normal 3 4" xfId="1501" xr:uid="{00000000-0005-0000-0000-0000DD040000}"/>
    <cellStyle name="Normal 3 5" xfId="1498" xr:uid="{00000000-0005-0000-0000-0000DE040000}"/>
    <cellStyle name="Normal 3_Copia de Cuadro APU General Seguridad Electronica Festo 01-12-2008" xfId="1502" xr:uid="{00000000-0005-0000-0000-0000DF040000}"/>
    <cellStyle name="Normal 30" xfId="1106" xr:uid="{00000000-0005-0000-0000-0000E0040000}"/>
    <cellStyle name="Normal 31" xfId="1107" xr:uid="{00000000-0005-0000-0000-0000E1040000}"/>
    <cellStyle name="Normal 32" xfId="1108" xr:uid="{00000000-0005-0000-0000-0000E2040000}"/>
    <cellStyle name="Normal 4" xfId="1109" xr:uid="{00000000-0005-0000-0000-0000E3040000}"/>
    <cellStyle name="Normal 4 2" xfId="1110" xr:uid="{00000000-0005-0000-0000-0000E4040000}"/>
    <cellStyle name="Normal 4 2 2" xfId="1505" xr:uid="{00000000-0005-0000-0000-0000E5040000}"/>
    <cellStyle name="Normal 4 2 3" xfId="1504" xr:uid="{00000000-0005-0000-0000-0000E6040000}"/>
    <cellStyle name="Normal 4 2_ESTADISTICA" xfId="1506" xr:uid="{00000000-0005-0000-0000-0000E7040000}"/>
    <cellStyle name="Normal 4 3" xfId="1507" xr:uid="{00000000-0005-0000-0000-0000E8040000}"/>
    <cellStyle name="Normal 4 3 2" xfId="1508" xr:uid="{00000000-0005-0000-0000-0000E9040000}"/>
    <cellStyle name="Normal 4 3_ESTADISTICA" xfId="1509" xr:uid="{00000000-0005-0000-0000-0000EA040000}"/>
    <cellStyle name="Normal 4 4" xfId="1510" xr:uid="{00000000-0005-0000-0000-0000EB040000}"/>
    <cellStyle name="Normal 4 5" xfId="1503" xr:uid="{00000000-0005-0000-0000-0000EC040000}"/>
    <cellStyle name="Normal 4 6" xfId="1522" xr:uid="{00000000-0005-0000-0000-0000ED040000}"/>
    <cellStyle name="Normal 4 7" xfId="1434" xr:uid="{00000000-0005-0000-0000-0000EE040000}"/>
    <cellStyle name="Normal 4_CICLOPUENTE AV-ESMERALDA-OCT-4-2011" xfId="1511" xr:uid="{00000000-0005-0000-0000-0000EF040000}"/>
    <cellStyle name="Normal 5" xfId="1111" xr:uid="{00000000-0005-0000-0000-0000F0040000}"/>
    <cellStyle name="Normal 5 2" xfId="1112" xr:uid="{00000000-0005-0000-0000-0000F1040000}"/>
    <cellStyle name="Normal 5 2 2" xfId="1513" xr:uid="{00000000-0005-0000-0000-0000F2040000}"/>
    <cellStyle name="Normal 5 3" xfId="1512" xr:uid="{00000000-0005-0000-0000-0000F3040000}"/>
    <cellStyle name="Normal 6" xfId="1113" xr:uid="{00000000-0005-0000-0000-0000F4040000}"/>
    <cellStyle name="Normal 6 2" xfId="1514" xr:uid="{00000000-0005-0000-0000-0000F5040000}"/>
    <cellStyle name="Normal 7" xfId="1515" xr:uid="{00000000-0005-0000-0000-0000F6040000}"/>
    <cellStyle name="Normal 8" xfId="1114" xr:uid="{00000000-0005-0000-0000-0000F7040000}"/>
    <cellStyle name="Normal 8 2" xfId="1521" xr:uid="{00000000-0005-0000-0000-0000F8040000}"/>
    <cellStyle name="Notas" xfId="1539" builtinId="10" customBuiltin="1"/>
    <cellStyle name="Notas 10" xfId="1115" xr:uid="{00000000-0005-0000-0000-0000FA040000}"/>
    <cellStyle name="Notas 11" xfId="1116" xr:uid="{00000000-0005-0000-0000-0000FB040000}"/>
    <cellStyle name="Notas 12" xfId="1117" xr:uid="{00000000-0005-0000-0000-0000FC040000}"/>
    <cellStyle name="Notas 13" xfId="1118" xr:uid="{00000000-0005-0000-0000-0000FD040000}"/>
    <cellStyle name="Notas 14" xfId="1119" xr:uid="{00000000-0005-0000-0000-0000FE040000}"/>
    <cellStyle name="Notas 15" xfId="1120" xr:uid="{00000000-0005-0000-0000-0000FF040000}"/>
    <cellStyle name="Notas 16" xfId="1121" xr:uid="{00000000-0005-0000-0000-000000050000}"/>
    <cellStyle name="Notas 17" xfId="1122" xr:uid="{00000000-0005-0000-0000-000001050000}"/>
    <cellStyle name="Notas 18" xfId="1123" xr:uid="{00000000-0005-0000-0000-000002050000}"/>
    <cellStyle name="Notas 19" xfId="1124" xr:uid="{00000000-0005-0000-0000-000003050000}"/>
    <cellStyle name="Notas 2" xfId="1125" xr:uid="{00000000-0005-0000-0000-000004050000}"/>
    <cellStyle name="Notas 20" xfId="1126" xr:uid="{00000000-0005-0000-0000-000005050000}"/>
    <cellStyle name="Notas 21" xfId="1127" xr:uid="{00000000-0005-0000-0000-000006050000}"/>
    <cellStyle name="Notas 22" xfId="1128" xr:uid="{00000000-0005-0000-0000-000007050000}"/>
    <cellStyle name="Notas 23" xfId="1129" xr:uid="{00000000-0005-0000-0000-000008050000}"/>
    <cellStyle name="Notas 24" xfId="1130" xr:uid="{00000000-0005-0000-0000-000009050000}"/>
    <cellStyle name="Notas 25" xfId="1131" xr:uid="{00000000-0005-0000-0000-00000A050000}"/>
    <cellStyle name="Notas 26" xfId="1132" xr:uid="{00000000-0005-0000-0000-00000B050000}"/>
    <cellStyle name="Notas 27" xfId="1133" xr:uid="{00000000-0005-0000-0000-00000C050000}"/>
    <cellStyle name="Notas 28" xfId="1134" xr:uid="{00000000-0005-0000-0000-00000D050000}"/>
    <cellStyle name="Notas 29" xfId="1135" xr:uid="{00000000-0005-0000-0000-00000E050000}"/>
    <cellStyle name="Notas 3" xfId="1136" xr:uid="{00000000-0005-0000-0000-00000F050000}"/>
    <cellStyle name="Notas 30" xfId="1137" xr:uid="{00000000-0005-0000-0000-000010050000}"/>
    <cellStyle name="Notas 31" xfId="1138" xr:uid="{00000000-0005-0000-0000-000011050000}"/>
    <cellStyle name="Notas 32" xfId="1139" xr:uid="{00000000-0005-0000-0000-000012050000}"/>
    <cellStyle name="Notas 4" xfId="1140" xr:uid="{00000000-0005-0000-0000-000013050000}"/>
    <cellStyle name="Notas 5" xfId="1141" xr:uid="{00000000-0005-0000-0000-000014050000}"/>
    <cellStyle name="Notas 6" xfId="1142" xr:uid="{00000000-0005-0000-0000-000015050000}"/>
    <cellStyle name="Notas 7" xfId="1143" xr:uid="{00000000-0005-0000-0000-000016050000}"/>
    <cellStyle name="Notas 8" xfId="1144" xr:uid="{00000000-0005-0000-0000-000017050000}"/>
    <cellStyle name="Notas 9" xfId="1145" xr:uid="{00000000-0005-0000-0000-000018050000}"/>
    <cellStyle name="Note" xfId="1146" xr:uid="{00000000-0005-0000-0000-000019050000}"/>
    <cellStyle name="Output" xfId="1147" xr:uid="{00000000-0005-0000-0000-00001A050000}"/>
    <cellStyle name="Porcentaje 2" xfId="1148" xr:uid="{00000000-0005-0000-0000-00001C050000}"/>
    <cellStyle name="Porcentaje 3" xfId="1520" xr:uid="{00000000-0005-0000-0000-00001D050000}"/>
    <cellStyle name="Porcentual 2" xfId="1149" xr:uid="{00000000-0005-0000-0000-00001E050000}"/>
    <cellStyle name="Porcentual 2 2" xfId="1516" xr:uid="{00000000-0005-0000-0000-00001F050000}"/>
    <cellStyle name="Porcentual 2 3" xfId="1517" xr:uid="{00000000-0005-0000-0000-000020050000}"/>
    <cellStyle name="Porcentual 3" xfId="1150" xr:uid="{00000000-0005-0000-0000-000021050000}"/>
    <cellStyle name="Porcentual 3 2" xfId="1407" xr:uid="{00000000-0005-0000-0000-000022050000}"/>
    <cellStyle name="Porcentual 4" xfId="1151" xr:uid="{00000000-0005-0000-0000-000023050000}"/>
    <cellStyle name="Porcentual 5" xfId="1152" xr:uid="{00000000-0005-0000-0000-000024050000}"/>
    <cellStyle name="Salida" xfId="1534" builtinId="21" customBuiltin="1"/>
    <cellStyle name="Salida 10" xfId="1153" xr:uid="{00000000-0005-0000-0000-000026050000}"/>
    <cellStyle name="Salida 11" xfId="1154" xr:uid="{00000000-0005-0000-0000-000027050000}"/>
    <cellStyle name="Salida 12" xfId="1155" xr:uid="{00000000-0005-0000-0000-000028050000}"/>
    <cellStyle name="Salida 13" xfId="1156" xr:uid="{00000000-0005-0000-0000-000029050000}"/>
    <cellStyle name="Salida 14" xfId="1157" xr:uid="{00000000-0005-0000-0000-00002A050000}"/>
    <cellStyle name="Salida 15" xfId="1158" xr:uid="{00000000-0005-0000-0000-00002B050000}"/>
    <cellStyle name="Salida 16" xfId="1159" xr:uid="{00000000-0005-0000-0000-00002C050000}"/>
    <cellStyle name="Salida 17" xfId="1160" xr:uid="{00000000-0005-0000-0000-00002D050000}"/>
    <cellStyle name="Salida 18" xfId="1161" xr:uid="{00000000-0005-0000-0000-00002E050000}"/>
    <cellStyle name="Salida 19" xfId="1162" xr:uid="{00000000-0005-0000-0000-00002F050000}"/>
    <cellStyle name="Salida 2" xfId="1163" xr:uid="{00000000-0005-0000-0000-000030050000}"/>
    <cellStyle name="Salida 20" xfId="1164" xr:uid="{00000000-0005-0000-0000-000031050000}"/>
    <cellStyle name="Salida 21" xfId="1165" xr:uid="{00000000-0005-0000-0000-000032050000}"/>
    <cellStyle name="Salida 22" xfId="1166" xr:uid="{00000000-0005-0000-0000-000033050000}"/>
    <cellStyle name="Salida 23" xfId="1167" xr:uid="{00000000-0005-0000-0000-000034050000}"/>
    <cellStyle name="Salida 24" xfId="1168" xr:uid="{00000000-0005-0000-0000-000035050000}"/>
    <cellStyle name="Salida 25" xfId="1169" xr:uid="{00000000-0005-0000-0000-000036050000}"/>
    <cellStyle name="Salida 26" xfId="1170" xr:uid="{00000000-0005-0000-0000-000037050000}"/>
    <cellStyle name="Salida 27" xfId="1171" xr:uid="{00000000-0005-0000-0000-000038050000}"/>
    <cellStyle name="Salida 28" xfId="1172" xr:uid="{00000000-0005-0000-0000-000039050000}"/>
    <cellStyle name="Salida 29" xfId="1173" xr:uid="{00000000-0005-0000-0000-00003A050000}"/>
    <cellStyle name="Salida 3" xfId="1174" xr:uid="{00000000-0005-0000-0000-00003B050000}"/>
    <cellStyle name="Salida 30" xfId="1175" xr:uid="{00000000-0005-0000-0000-00003C050000}"/>
    <cellStyle name="Salida 31" xfId="1176" xr:uid="{00000000-0005-0000-0000-00003D050000}"/>
    <cellStyle name="Salida 32" xfId="1177" xr:uid="{00000000-0005-0000-0000-00003E050000}"/>
    <cellStyle name="Salida 4" xfId="1178" xr:uid="{00000000-0005-0000-0000-00003F050000}"/>
    <cellStyle name="Salida 5" xfId="1179" xr:uid="{00000000-0005-0000-0000-000040050000}"/>
    <cellStyle name="Salida 6" xfId="1180" xr:uid="{00000000-0005-0000-0000-000041050000}"/>
    <cellStyle name="Salida 7" xfId="1181" xr:uid="{00000000-0005-0000-0000-000042050000}"/>
    <cellStyle name="Salida 8" xfId="1182" xr:uid="{00000000-0005-0000-0000-000043050000}"/>
    <cellStyle name="Salida 9" xfId="1183" xr:uid="{00000000-0005-0000-0000-000044050000}"/>
    <cellStyle name="Texto de advertencia" xfId="1538" builtinId="11" customBuiltin="1"/>
    <cellStyle name="Texto de advertencia 10" xfId="1184" xr:uid="{00000000-0005-0000-0000-000046050000}"/>
    <cellStyle name="Texto de advertencia 11" xfId="1185" xr:uid="{00000000-0005-0000-0000-000047050000}"/>
    <cellStyle name="Texto de advertencia 12" xfId="1186" xr:uid="{00000000-0005-0000-0000-000048050000}"/>
    <cellStyle name="Texto de advertencia 13" xfId="1187" xr:uid="{00000000-0005-0000-0000-000049050000}"/>
    <cellStyle name="Texto de advertencia 14" xfId="1188" xr:uid="{00000000-0005-0000-0000-00004A050000}"/>
    <cellStyle name="Texto de advertencia 15" xfId="1189" xr:uid="{00000000-0005-0000-0000-00004B050000}"/>
    <cellStyle name="Texto de advertencia 16" xfId="1190" xr:uid="{00000000-0005-0000-0000-00004C050000}"/>
    <cellStyle name="Texto de advertencia 17" xfId="1191" xr:uid="{00000000-0005-0000-0000-00004D050000}"/>
    <cellStyle name="Texto de advertencia 18" xfId="1192" xr:uid="{00000000-0005-0000-0000-00004E050000}"/>
    <cellStyle name="Texto de advertencia 19" xfId="1193" xr:uid="{00000000-0005-0000-0000-00004F050000}"/>
    <cellStyle name="Texto de advertencia 2" xfId="1194" xr:uid="{00000000-0005-0000-0000-000050050000}"/>
    <cellStyle name="Texto de advertencia 20" xfId="1195" xr:uid="{00000000-0005-0000-0000-000051050000}"/>
    <cellStyle name="Texto de advertencia 21" xfId="1196" xr:uid="{00000000-0005-0000-0000-000052050000}"/>
    <cellStyle name="Texto de advertencia 22" xfId="1197" xr:uid="{00000000-0005-0000-0000-000053050000}"/>
    <cellStyle name="Texto de advertencia 23" xfId="1198" xr:uid="{00000000-0005-0000-0000-000054050000}"/>
    <cellStyle name="Texto de advertencia 24" xfId="1199" xr:uid="{00000000-0005-0000-0000-000055050000}"/>
    <cellStyle name="Texto de advertencia 25" xfId="1200" xr:uid="{00000000-0005-0000-0000-000056050000}"/>
    <cellStyle name="Texto de advertencia 26" xfId="1201" xr:uid="{00000000-0005-0000-0000-000057050000}"/>
    <cellStyle name="Texto de advertencia 27" xfId="1202" xr:uid="{00000000-0005-0000-0000-000058050000}"/>
    <cellStyle name="Texto de advertencia 28" xfId="1203" xr:uid="{00000000-0005-0000-0000-000059050000}"/>
    <cellStyle name="Texto de advertencia 29" xfId="1204" xr:uid="{00000000-0005-0000-0000-00005A050000}"/>
    <cellStyle name="Texto de advertencia 3" xfId="1205" xr:uid="{00000000-0005-0000-0000-00005B050000}"/>
    <cellStyle name="Texto de advertencia 30" xfId="1206" xr:uid="{00000000-0005-0000-0000-00005C050000}"/>
    <cellStyle name="Texto de advertencia 31" xfId="1207" xr:uid="{00000000-0005-0000-0000-00005D050000}"/>
    <cellStyle name="Texto de advertencia 32" xfId="1208" xr:uid="{00000000-0005-0000-0000-00005E050000}"/>
    <cellStyle name="Texto de advertencia 4" xfId="1209" xr:uid="{00000000-0005-0000-0000-00005F050000}"/>
    <cellStyle name="Texto de advertencia 5" xfId="1210" xr:uid="{00000000-0005-0000-0000-000060050000}"/>
    <cellStyle name="Texto de advertencia 6" xfId="1211" xr:uid="{00000000-0005-0000-0000-000061050000}"/>
    <cellStyle name="Texto de advertencia 7" xfId="1212" xr:uid="{00000000-0005-0000-0000-000062050000}"/>
    <cellStyle name="Texto de advertencia 8" xfId="1213" xr:uid="{00000000-0005-0000-0000-000063050000}"/>
    <cellStyle name="Texto de advertencia 9" xfId="1214" xr:uid="{00000000-0005-0000-0000-000064050000}"/>
    <cellStyle name="Texto explicativo" xfId="1540" builtinId="53" customBuiltin="1"/>
    <cellStyle name="Texto explicativo 10" xfId="1215" xr:uid="{00000000-0005-0000-0000-000066050000}"/>
    <cellStyle name="Texto explicativo 11" xfId="1216" xr:uid="{00000000-0005-0000-0000-000067050000}"/>
    <cellStyle name="Texto explicativo 12" xfId="1217" xr:uid="{00000000-0005-0000-0000-000068050000}"/>
    <cellStyle name="Texto explicativo 13" xfId="1218" xr:uid="{00000000-0005-0000-0000-000069050000}"/>
    <cellStyle name="Texto explicativo 14" xfId="1219" xr:uid="{00000000-0005-0000-0000-00006A050000}"/>
    <cellStyle name="Texto explicativo 15" xfId="1220" xr:uid="{00000000-0005-0000-0000-00006B050000}"/>
    <cellStyle name="Texto explicativo 16" xfId="1221" xr:uid="{00000000-0005-0000-0000-00006C050000}"/>
    <cellStyle name="Texto explicativo 17" xfId="1222" xr:uid="{00000000-0005-0000-0000-00006D050000}"/>
    <cellStyle name="Texto explicativo 18" xfId="1223" xr:uid="{00000000-0005-0000-0000-00006E050000}"/>
    <cellStyle name="Texto explicativo 19" xfId="1224" xr:uid="{00000000-0005-0000-0000-00006F050000}"/>
    <cellStyle name="Texto explicativo 2" xfId="1225" xr:uid="{00000000-0005-0000-0000-000070050000}"/>
    <cellStyle name="Texto explicativo 20" xfId="1226" xr:uid="{00000000-0005-0000-0000-000071050000}"/>
    <cellStyle name="Texto explicativo 21" xfId="1227" xr:uid="{00000000-0005-0000-0000-000072050000}"/>
    <cellStyle name="Texto explicativo 22" xfId="1228" xr:uid="{00000000-0005-0000-0000-000073050000}"/>
    <cellStyle name="Texto explicativo 23" xfId="1229" xr:uid="{00000000-0005-0000-0000-000074050000}"/>
    <cellStyle name="Texto explicativo 24" xfId="1230" xr:uid="{00000000-0005-0000-0000-000075050000}"/>
    <cellStyle name="Texto explicativo 25" xfId="1231" xr:uid="{00000000-0005-0000-0000-000076050000}"/>
    <cellStyle name="Texto explicativo 26" xfId="1232" xr:uid="{00000000-0005-0000-0000-000077050000}"/>
    <cellStyle name="Texto explicativo 27" xfId="1233" xr:uid="{00000000-0005-0000-0000-000078050000}"/>
    <cellStyle name="Texto explicativo 28" xfId="1234" xr:uid="{00000000-0005-0000-0000-000079050000}"/>
    <cellStyle name="Texto explicativo 29" xfId="1235" xr:uid="{00000000-0005-0000-0000-00007A050000}"/>
    <cellStyle name="Texto explicativo 3" xfId="1236" xr:uid="{00000000-0005-0000-0000-00007B050000}"/>
    <cellStyle name="Texto explicativo 30" xfId="1237" xr:uid="{00000000-0005-0000-0000-00007C050000}"/>
    <cellStyle name="Texto explicativo 31" xfId="1238" xr:uid="{00000000-0005-0000-0000-00007D050000}"/>
    <cellStyle name="Texto explicativo 32" xfId="1239" xr:uid="{00000000-0005-0000-0000-00007E050000}"/>
    <cellStyle name="Texto explicativo 4" xfId="1240" xr:uid="{00000000-0005-0000-0000-00007F050000}"/>
    <cellStyle name="Texto explicativo 5" xfId="1241" xr:uid="{00000000-0005-0000-0000-000080050000}"/>
    <cellStyle name="Texto explicativo 6" xfId="1242" xr:uid="{00000000-0005-0000-0000-000081050000}"/>
    <cellStyle name="Texto explicativo 7" xfId="1243" xr:uid="{00000000-0005-0000-0000-000082050000}"/>
    <cellStyle name="Texto explicativo 8" xfId="1244" xr:uid="{00000000-0005-0000-0000-000083050000}"/>
    <cellStyle name="Texto explicativo 9" xfId="1245" xr:uid="{00000000-0005-0000-0000-000084050000}"/>
    <cellStyle name="Title" xfId="1246" xr:uid="{00000000-0005-0000-0000-000085050000}"/>
    <cellStyle name="Título" xfId="1525" builtinId="15" customBuiltin="1"/>
    <cellStyle name="Título 1 10" xfId="1247" xr:uid="{00000000-0005-0000-0000-000087050000}"/>
    <cellStyle name="Título 1 11" xfId="1248" xr:uid="{00000000-0005-0000-0000-000088050000}"/>
    <cellStyle name="Título 1 12" xfId="1249" xr:uid="{00000000-0005-0000-0000-000089050000}"/>
    <cellStyle name="Título 1 13" xfId="1250" xr:uid="{00000000-0005-0000-0000-00008A050000}"/>
    <cellStyle name="Título 1 14" xfId="1251" xr:uid="{00000000-0005-0000-0000-00008B050000}"/>
    <cellStyle name="Título 1 15" xfId="1252" xr:uid="{00000000-0005-0000-0000-00008C050000}"/>
    <cellStyle name="Título 1 16" xfId="1253" xr:uid="{00000000-0005-0000-0000-00008D050000}"/>
    <cellStyle name="Título 1 17" xfId="1254" xr:uid="{00000000-0005-0000-0000-00008E050000}"/>
    <cellStyle name="Título 1 18" xfId="1255" xr:uid="{00000000-0005-0000-0000-00008F050000}"/>
    <cellStyle name="Título 1 19" xfId="1256" xr:uid="{00000000-0005-0000-0000-000090050000}"/>
    <cellStyle name="Título 1 2" xfId="1257" xr:uid="{00000000-0005-0000-0000-000091050000}"/>
    <cellStyle name="Título 1 20" xfId="1258" xr:uid="{00000000-0005-0000-0000-000092050000}"/>
    <cellStyle name="Título 1 21" xfId="1259" xr:uid="{00000000-0005-0000-0000-000093050000}"/>
    <cellStyle name="Título 1 22" xfId="1260" xr:uid="{00000000-0005-0000-0000-000094050000}"/>
    <cellStyle name="Título 1 23" xfId="1261" xr:uid="{00000000-0005-0000-0000-000095050000}"/>
    <cellStyle name="Título 1 24" xfId="1262" xr:uid="{00000000-0005-0000-0000-000096050000}"/>
    <cellStyle name="Título 1 25" xfId="1263" xr:uid="{00000000-0005-0000-0000-000097050000}"/>
    <cellStyle name="Título 1 26" xfId="1264" xr:uid="{00000000-0005-0000-0000-000098050000}"/>
    <cellStyle name="Título 1 27" xfId="1265" xr:uid="{00000000-0005-0000-0000-000099050000}"/>
    <cellStyle name="Título 1 28" xfId="1266" xr:uid="{00000000-0005-0000-0000-00009A050000}"/>
    <cellStyle name="Título 1 29" xfId="1267" xr:uid="{00000000-0005-0000-0000-00009B050000}"/>
    <cellStyle name="Título 1 3" xfId="1268" xr:uid="{00000000-0005-0000-0000-00009C050000}"/>
    <cellStyle name="Título 1 30" xfId="1269" xr:uid="{00000000-0005-0000-0000-00009D050000}"/>
    <cellStyle name="Título 1 31" xfId="1270" xr:uid="{00000000-0005-0000-0000-00009E050000}"/>
    <cellStyle name="Título 1 32" xfId="1271" xr:uid="{00000000-0005-0000-0000-00009F050000}"/>
    <cellStyle name="Título 1 4" xfId="1272" xr:uid="{00000000-0005-0000-0000-0000A0050000}"/>
    <cellStyle name="Título 1 5" xfId="1273" xr:uid="{00000000-0005-0000-0000-0000A1050000}"/>
    <cellStyle name="Título 1 6" xfId="1274" xr:uid="{00000000-0005-0000-0000-0000A2050000}"/>
    <cellStyle name="Título 1 7" xfId="1275" xr:uid="{00000000-0005-0000-0000-0000A3050000}"/>
    <cellStyle name="Título 1 8" xfId="1276" xr:uid="{00000000-0005-0000-0000-0000A4050000}"/>
    <cellStyle name="Título 1 9" xfId="1277" xr:uid="{00000000-0005-0000-0000-0000A5050000}"/>
    <cellStyle name="Título 10" xfId="1278" xr:uid="{00000000-0005-0000-0000-0000A6050000}"/>
    <cellStyle name="Título 11" xfId="1279" xr:uid="{00000000-0005-0000-0000-0000A7050000}"/>
    <cellStyle name="Título 12" xfId="1280" xr:uid="{00000000-0005-0000-0000-0000A8050000}"/>
    <cellStyle name="Título 13" xfId="1281" xr:uid="{00000000-0005-0000-0000-0000A9050000}"/>
    <cellStyle name="Título 14" xfId="1282" xr:uid="{00000000-0005-0000-0000-0000AA050000}"/>
    <cellStyle name="Título 15" xfId="1283" xr:uid="{00000000-0005-0000-0000-0000AB050000}"/>
    <cellStyle name="Título 16" xfId="1284" xr:uid="{00000000-0005-0000-0000-0000AC050000}"/>
    <cellStyle name="Título 17" xfId="1285" xr:uid="{00000000-0005-0000-0000-0000AD050000}"/>
    <cellStyle name="Título 18" xfId="1286" xr:uid="{00000000-0005-0000-0000-0000AE050000}"/>
    <cellStyle name="Título 19" xfId="1287" xr:uid="{00000000-0005-0000-0000-0000AF050000}"/>
    <cellStyle name="Título 2" xfId="1527" builtinId="17" customBuiltin="1"/>
    <cellStyle name="Título 2 10" xfId="1288" xr:uid="{00000000-0005-0000-0000-0000B1050000}"/>
    <cellStyle name="Título 2 11" xfId="1289" xr:uid="{00000000-0005-0000-0000-0000B2050000}"/>
    <cellStyle name="Título 2 12" xfId="1290" xr:uid="{00000000-0005-0000-0000-0000B3050000}"/>
    <cellStyle name="Título 2 13" xfId="1291" xr:uid="{00000000-0005-0000-0000-0000B4050000}"/>
    <cellStyle name="Título 2 14" xfId="1292" xr:uid="{00000000-0005-0000-0000-0000B5050000}"/>
    <cellStyle name="Título 2 15" xfId="1293" xr:uid="{00000000-0005-0000-0000-0000B6050000}"/>
    <cellStyle name="Título 2 16" xfId="1294" xr:uid="{00000000-0005-0000-0000-0000B7050000}"/>
    <cellStyle name="Título 2 17" xfId="1295" xr:uid="{00000000-0005-0000-0000-0000B8050000}"/>
    <cellStyle name="Título 2 18" xfId="1296" xr:uid="{00000000-0005-0000-0000-0000B9050000}"/>
    <cellStyle name="Título 2 19" xfId="1297" xr:uid="{00000000-0005-0000-0000-0000BA050000}"/>
    <cellStyle name="Título 2 2" xfId="1298" xr:uid="{00000000-0005-0000-0000-0000BB050000}"/>
    <cellStyle name="Título 2 20" xfId="1299" xr:uid="{00000000-0005-0000-0000-0000BC050000}"/>
    <cellStyle name="Título 2 21" xfId="1300" xr:uid="{00000000-0005-0000-0000-0000BD050000}"/>
    <cellStyle name="Título 2 22" xfId="1301" xr:uid="{00000000-0005-0000-0000-0000BE050000}"/>
    <cellStyle name="Título 2 23" xfId="1302" xr:uid="{00000000-0005-0000-0000-0000BF050000}"/>
    <cellStyle name="Título 2 24" xfId="1303" xr:uid="{00000000-0005-0000-0000-0000C0050000}"/>
    <cellStyle name="Título 2 25" xfId="1304" xr:uid="{00000000-0005-0000-0000-0000C1050000}"/>
    <cellStyle name="Título 2 26" xfId="1305" xr:uid="{00000000-0005-0000-0000-0000C2050000}"/>
    <cellStyle name="Título 2 27" xfId="1306" xr:uid="{00000000-0005-0000-0000-0000C3050000}"/>
    <cellStyle name="Título 2 28" xfId="1307" xr:uid="{00000000-0005-0000-0000-0000C4050000}"/>
    <cellStyle name="Título 2 29" xfId="1308" xr:uid="{00000000-0005-0000-0000-0000C5050000}"/>
    <cellStyle name="Título 2 3" xfId="1309" xr:uid="{00000000-0005-0000-0000-0000C6050000}"/>
    <cellStyle name="Título 2 30" xfId="1310" xr:uid="{00000000-0005-0000-0000-0000C7050000}"/>
    <cellStyle name="Título 2 31" xfId="1311" xr:uid="{00000000-0005-0000-0000-0000C8050000}"/>
    <cellStyle name="Título 2 32" xfId="1312" xr:uid="{00000000-0005-0000-0000-0000C9050000}"/>
    <cellStyle name="Título 2 4" xfId="1313" xr:uid="{00000000-0005-0000-0000-0000CA050000}"/>
    <cellStyle name="Título 2 5" xfId="1314" xr:uid="{00000000-0005-0000-0000-0000CB050000}"/>
    <cellStyle name="Título 2 6" xfId="1315" xr:uid="{00000000-0005-0000-0000-0000CC050000}"/>
    <cellStyle name="Título 2 7" xfId="1316" xr:uid="{00000000-0005-0000-0000-0000CD050000}"/>
    <cellStyle name="Título 2 8" xfId="1317" xr:uid="{00000000-0005-0000-0000-0000CE050000}"/>
    <cellStyle name="Título 2 9" xfId="1318" xr:uid="{00000000-0005-0000-0000-0000CF050000}"/>
    <cellStyle name="Título 20" xfId="1319" xr:uid="{00000000-0005-0000-0000-0000D0050000}"/>
    <cellStyle name="Título 21" xfId="1320" xr:uid="{00000000-0005-0000-0000-0000D1050000}"/>
    <cellStyle name="Título 22" xfId="1321" xr:uid="{00000000-0005-0000-0000-0000D2050000}"/>
    <cellStyle name="Título 23" xfId="1322" xr:uid="{00000000-0005-0000-0000-0000D3050000}"/>
    <cellStyle name="Título 24" xfId="1323" xr:uid="{00000000-0005-0000-0000-0000D4050000}"/>
    <cellStyle name="Título 25" xfId="1324" xr:uid="{00000000-0005-0000-0000-0000D5050000}"/>
    <cellStyle name="Título 26" xfId="1325" xr:uid="{00000000-0005-0000-0000-0000D6050000}"/>
    <cellStyle name="Título 27" xfId="1326" xr:uid="{00000000-0005-0000-0000-0000D7050000}"/>
    <cellStyle name="Título 28" xfId="1327" xr:uid="{00000000-0005-0000-0000-0000D8050000}"/>
    <cellStyle name="Título 29" xfId="1328" xr:uid="{00000000-0005-0000-0000-0000D9050000}"/>
    <cellStyle name="Título 3" xfId="1528" builtinId="18" customBuiltin="1"/>
    <cellStyle name="Título 3 10" xfId="1329" xr:uid="{00000000-0005-0000-0000-0000DB050000}"/>
    <cellStyle name="Título 3 11" xfId="1330" xr:uid="{00000000-0005-0000-0000-0000DC050000}"/>
    <cellStyle name="Título 3 12" xfId="1331" xr:uid="{00000000-0005-0000-0000-0000DD050000}"/>
    <cellStyle name="Título 3 13" xfId="1332" xr:uid="{00000000-0005-0000-0000-0000DE050000}"/>
    <cellStyle name="Título 3 14" xfId="1333" xr:uid="{00000000-0005-0000-0000-0000DF050000}"/>
    <cellStyle name="Título 3 15" xfId="1334" xr:uid="{00000000-0005-0000-0000-0000E0050000}"/>
    <cellStyle name="Título 3 16" xfId="1335" xr:uid="{00000000-0005-0000-0000-0000E1050000}"/>
    <cellStyle name="Título 3 17" xfId="1336" xr:uid="{00000000-0005-0000-0000-0000E2050000}"/>
    <cellStyle name="Título 3 18" xfId="1337" xr:uid="{00000000-0005-0000-0000-0000E3050000}"/>
    <cellStyle name="Título 3 19" xfId="1338" xr:uid="{00000000-0005-0000-0000-0000E4050000}"/>
    <cellStyle name="Título 3 2" xfId="1339" xr:uid="{00000000-0005-0000-0000-0000E5050000}"/>
    <cellStyle name="Título 3 20" xfId="1340" xr:uid="{00000000-0005-0000-0000-0000E6050000}"/>
    <cellStyle name="Título 3 21" xfId="1341" xr:uid="{00000000-0005-0000-0000-0000E7050000}"/>
    <cellStyle name="Título 3 22" xfId="1342" xr:uid="{00000000-0005-0000-0000-0000E8050000}"/>
    <cellStyle name="Título 3 23" xfId="1343" xr:uid="{00000000-0005-0000-0000-0000E9050000}"/>
    <cellStyle name="Título 3 24" xfId="1344" xr:uid="{00000000-0005-0000-0000-0000EA050000}"/>
    <cellStyle name="Título 3 25" xfId="1345" xr:uid="{00000000-0005-0000-0000-0000EB050000}"/>
    <cellStyle name="Título 3 26" xfId="1346" xr:uid="{00000000-0005-0000-0000-0000EC050000}"/>
    <cellStyle name="Título 3 27" xfId="1347" xr:uid="{00000000-0005-0000-0000-0000ED050000}"/>
    <cellStyle name="Título 3 28" xfId="1348" xr:uid="{00000000-0005-0000-0000-0000EE050000}"/>
    <cellStyle name="Título 3 29" xfId="1349" xr:uid="{00000000-0005-0000-0000-0000EF050000}"/>
    <cellStyle name="Título 3 3" xfId="1350" xr:uid="{00000000-0005-0000-0000-0000F0050000}"/>
    <cellStyle name="Título 3 30" xfId="1351" xr:uid="{00000000-0005-0000-0000-0000F1050000}"/>
    <cellStyle name="Título 3 31" xfId="1352" xr:uid="{00000000-0005-0000-0000-0000F2050000}"/>
    <cellStyle name="Título 3 32" xfId="1353" xr:uid="{00000000-0005-0000-0000-0000F3050000}"/>
    <cellStyle name="Título 3 4" xfId="1354" xr:uid="{00000000-0005-0000-0000-0000F4050000}"/>
    <cellStyle name="Título 3 5" xfId="1355" xr:uid="{00000000-0005-0000-0000-0000F5050000}"/>
    <cellStyle name="Título 3 6" xfId="1356" xr:uid="{00000000-0005-0000-0000-0000F6050000}"/>
    <cellStyle name="Título 3 7" xfId="1357" xr:uid="{00000000-0005-0000-0000-0000F7050000}"/>
    <cellStyle name="Título 3 8" xfId="1358" xr:uid="{00000000-0005-0000-0000-0000F8050000}"/>
    <cellStyle name="Título 3 9" xfId="1359" xr:uid="{00000000-0005-0000-0000-0000F9050000}"/>
    <cellStyle name="Título 30" xfId="1360" xr:uid="{00000000-0005-0000-0000-0000FA050000}"/>
    <cellStyle name="Título 31" xfId="1361" xr:uid="{00000000-0005-0000-0000-0000FB050000}"/>
    <cellStyle name="Título 32" xfId="1362" xr:uid="{00000000-0005-0000-0000-0000FC050000}"/>
    <cellStyle name="Título 33" xfId="1363" xr:uid="{00000000-0005-0000-0000-0000FD050000}"/>
    <cellStyle name="Título 34" xfId="1364" xr:uid="{00000000-0005-0000-0000-0000FE050000}"/>
    <cellStyle name="Título 4" xfId="1365" xr:uid="{00000000-0005-0000-0000-0000FF050000}"/>
    <cellStyle name="Título 5" xfId="1366" xr:uid="{00000000-0005-0000-0000-000000060000}"/>
    <cellStyle name="Título 6" xfId="1367" xr:uid="{00000000-0005-0000-0000-000001060000}"/>
    <cellStyle name="Título 7" xfId="1368" xr:uid="{00000000-0005-0000-0000-000002060000}"/>
    <cellStyle name="Título 8" xfId="1369" xr:uid="{00000000-0005-0000-0000-000003060000}"/>
    <cellStyle name="Título 9" xfId="1370" xr:uid="{00000000-0005-0000-0000-000004060000}"/>
    <cellStyle name="Título de hoja" xfId="1518" xr:uid="{00000000-0005-0000-0000-000005060000}"/>
    <cellStyle name="Total" xfId="1541" builtinId="25" customBuiltin="1"/>
    <cellStyle name="Total 10" xfId="1371" xr:uid="{00000000-0005-0000-0000-000007060000}"/>
    <cellStyle name="Total 11" xfId="1372" xr:uid="{00000000-0005-0000-0000-000008060000}"/>
    <cellStyle name="Total 12" xfId="1373" xr:uid="{00000000-0005-0000-0000-000009060000}"/>
    <cellStyle name="Total 13" xfId="1374" xr:uid="{00000000-0005-0000-0000-00000A060000}"/>
    <cellStyle name="Total 14" xfId="1375" xr:uid="{00000000-0005-0000-0000-00000B060000}"/>
    <cellStyle name="Total 15" xfId="1376" xr:uid="{00000000-0005-0000-0000-00000C060000}"/>
    <cellStyle name="Total 16" xfId="1377" xr:uid="{00000000-0005-0000-0000-00000D060000}"/>
    <cellStyle name="Total 17" xfId="1378" xr:uid="{00000000-0005-0000-0000-00000E060000}"/>
    <cellStyle name="Total 18" xfId="1379" xr:uid="{00000000-0005-0000-0000-00000F060000}"/>
    <cellStyle name="Total 19" xfId="1380" xr:uid="{00000000-0005-0000-0000-000010060000}"/>
    <cellStyle name="Total 2" xfId="1381" xr:uid="{00000000-0005-0000-0000-000011060000}"/>
    <cellStyle name="Total 20" xfId="1382" xr:uid="{00000000-0005-0000-0000-000012060000}"/>
    <cellStyle name="Total 21" xfId="1383" xr:uid="{00000000-0005-0000-0000-000013060000}"/>
    <cellStyle name="Total 22" xfId="1384" xr:uid="{00000000-0005-0000-0000-000014060000}"/>
    <cellStyle name="Total 23" xfId="1385" xr:uid="{00000000-0005-0000-0000-000015060000}"/>
    <cellStyle name="Total 24" xfId="1386" xr:uid="{00000000-0005-0000-0000-000016060000}"/>
    <cellStyle name="Total 25" xfId="1387" xr:uid="{00000000-0005-0000-0000-000017060000}"/>
    <cellStyle name="Total 26" xfId="1388" xr:uid="{00000000-0005-0000-0000-000018060000}"/>
    <cellStyle name="Total 27" xfId="1389" xr:uid="{00000000-0005-0000-0000-000019060000}"/>
    <cellStyle name="Total 28" xfId="1390" xr:uid="{00000000-0005-0000-0000-00001A060000}"/>
    <cellStyle name="Total 29" xfId="1391" xr:uid="{00000000-0005-0000-0000-00001B060000}"/>
    <cellStyle name="Total 3" xfId="1392" xr:uid="{00000000-0005-0000-0000-00001C060000}"/>
    <cellStyle name="Total 30" xfId="1393" xr:uid="{00000000-0005-0000-0000-00001D060000}"/>
    <cellStyle name="Total 31" xfId="1394" xr:uid="{00000000-0005-0000-0000-00001E060000}"/>
    <cellStyle name="Total 32" xfId="1395" xr:uid="{00000000-0005-0000-0000-00001F060000}"/>
    <cellStyle name="Total 4" xfId="1396" xr:uid="{00000000-0005-0000-0000-000020060000}"/>
    <cellStyle name="Total 5" xfId="1397" xr:uid="{00000000-0005-0000-0000-000021060000}"/>
    <cellStyle name="Total 6" xfId="1398" xr:uid="{00000000-0005-0000-0000-000022060000}"/>
    <cellStyle name="Total 7" xfId="1399" xr:uid="{00000000-0005-0000-0000-000023060000}"/>
    <cellStyle name="Total 8" xfId="1400" xr:uid="{00000000-0005-0000-0000-000024060000}"/>
    <cellStyle name="Total 9" xfId="1401" xr:uid="{00000000-0005-0000-0000-000025060000}"/>
    <cellStyle name="Warning Text" xfId="1402" xr:uid="{00000000-0005-0000-0000-000026060000}"/>
    <cellStyle name="常规_Sheet1" xfId="1519" xr:uid="{00000000-0005-0000-0000-00002706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317500"/>
          <a:ext cx="952499" cy="850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01539306-49AE-4205-977A-02821A0E0C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5220" y="306705"/>
          <a:ext cx="952499" cy="836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11401</xdr:colOff>
      <xdr:row>1</xdr:row>
      <xdr:rowOff>123824</xdr:rowOff>
    </xdr:from>
    <xdr:to>
      <xdr:col>1</xdr:col>
      <xdr:colOff>659723</xdr:colOff>
      <xdr:row>1</xdr:row>
      <xdr:rowOff>676275</xdr:rowOff>
    </xdr:to>
    <xdr:pic>
      <xdr:nvPicPr>
        <xdr:cNvPr id="2" name="Imagen 2">
          <a:extLst>
            <a:ext uri="{FF2B5EF4-FFF2-40B4-BE49-F238E27FC236}">
              <a16:creationId xmlns:a16="http://schemas.microsoft.com/office/drawing/2014/main" id="{9B250989-C982-42D9-B140-F349BA63EB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751" y="304799"/>
          <a:ext cx="648322" cy="552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A2:X63"/>
  <sheetViews>
    <sheetView topLeftCell="A55" zoomScale="70" zoomScaleNormal="70" zoomScaleSheetLayoutView="40" zoomScalePageLayoutView="55" workbookViewId="0">
      <selection activeCell="D71" sqref="D71"/>
    </sheetView>
  </sheetViews>
  <sheetFormatPr baseColWidth="10" defaultColWidth="11.453125" defaultRowHeight="20"/>
  <cols>
    <col min="1" max="1" width="4.36328125" style="40" customWidth="1"/>
    <col min="2" max="2" width="4.6328125" style="40" bestFit="1" customWidth="1"/>
    <col min="3" max="3" width="30.6328125" style="40" customWidth="1"/>
    <col min="4" max="4" width="70.54296875" style="40" customWidth="1"/>
    <col min="5" max="5" width="8.1796875" style="40" bestFit="1" customWidth="1"/>
    <col min="6" max="6" width="5.54296875" style="40" bestFit="1" customWidth="1"/>
    <col min="7" max="7" width="15" style="40" customWidth="1"/>
    <col min="8" max="8" width="13.453125" style="40" customWidth="1"/>
    <col min="9" max="9" width="16.6328125" style="40" customWidth="1"/>
    <col min="10" max="10" width="17.90625" style="40" customWidth="1"/>
    <col min="11" max="12" width="13.54296875" style="40" hidden="1" customWidth="1"/>
    <col min="13" max="13" width="21" style="79" customWidth="1"/>
    <col min="14" max="15" width="17" style="40" customWidth="1"/>
    <col min="16" max="16" width="18.453125" style="40" customWidth="1"/>
    <col min="17" max="17" width="19.54296875" style="40" customWidth="1"/>
    <col min="18" max="18" width="26.36328125" style="40" customWidth="1"/>
    <col min="19" max="19" width="21.36328125" style="40" customWidth="1"/>
    <col min="20" max="20" width="21.54296875" style="40" customWidth="1"/>
    <col min="21" max="21" width="28.36328125" style="40" customWidth="1"/>
    <col min="22" max="22" width="30.08984375" style="40" customWidth="1"/>
    <col min="23" max="23" width="2.453125" style="42" customWidth="1"/>
    <col min="24" max="16384" width="11.453125" style="40"/>
  </cols>
  <sheetData>
    <row r="2" spans="2:24" ht="39.75" customHeight="1">
      <c r="B2" s="174"/>
      <c r="C2" s="175"/>
      <c r="D2" s="176"/>
      <c r="E2" s="183" t="s">
        <v>77</v>
      </c>
      <c r="F2" s="184"/>
      <c r="G2" s="184"/>
      <c r="H2" s="184"/>
      <c r="I2" s="184"/>
      <c r="J2" s="184"/>
      <c r="K2" s="184"/>
      <c r="L2" s="184"/>
      <c r="M2" s="184"/>
      <c r="N2" s="184"/>
      <c r="O2" s="184"/>
      <c r="P2" s="184"/>
      <c r="Q2" s="184"/>
      <c r="R2" s="184"/>
      <c r="S2" s="184"/>
      <c r="T2" s="184"/>
      <c r="U2" s="184"/>
      <c r="V2" s="185"/>
      <c r="W2" s="39"/>
      <c r="X2" s="39"/>
    </row>
    <row r="3" spans="2:24" ht="17.25" customHeight="1">
      <c r="B3" s="177"/>
      <c r="C3" s="178"/>
      <c r="D3" s="179"/>
      <c r="E3" s="186" t="s">
        <v>78</v>
      </c>
      <c r="F3" s="187"/>
      <c r="G3" s="187"/>
      <c r="H3" s="187"/>
      <c r="I3" s="187"/>
      <c r="J3" s="187"/>
      <c r="K3" s="187"/>
      <c r="L3" s="187"/>
      <c r="M3" s="187"/>
      <c r="N3" s="187"/>
      <c r="O3" s="187"/>
      <c r="P3" s="187"/>
      <c r="Q3" s="187"/>
      <c r="R3" s="187"/>
      <c r="S3" s="187"/>
      <c r="T3" s="187"/>
      <c r="U3" s="187"/>
      <c r="V3" s="188"/>
      <c r="W3" s="41"/>
      <c r="X3" s="41"/>
    </row>
    <row r="4" spans="2:24" ht="17.25" customHeight="1">
      <c r="B4" s="180"/>
      <c r="C4" s="181"/>
      <c r="D4" s="182"/>
      <c r="E4" s="186" t="s">
        <v>81</v>
      </c>
      <c r="F4" s="187"/>
      <c r="G4" s="187"/>
      <c r="H4" s="187"/>
      <c r="I4" s="187"/>
      <c r="J4" s="187"/>
      <c r="K4" s="187"/>
      <c r="L4" s="187"/>
      <c r="M4" s="187"/>
      <c r="N4" s="187"/>
      <c r="O4" s="187"/>
      <c r="P4" s="187"/>
      <c r="Q4" s="187"/>
      <c r="R4" s="187"/>
      <c r="S4" s="187"/>
      <c r="T4" s="187"/>
      <c r="U4" s="187"/>
      <c r="V4" s="188"/>
      <c r="W4" s="41"/>
      <c r="X4" s="41"/>
    </row>
    <row r="5" spans="2:24" ht="15.75" customHeight="1" thickBot="1">
      <c r="K5" s="40">
        <f>3.38/100</f>
        <v>3.3799999999999997E-2</v>
      </c>
    </row>
    <row r="6" spans="2:24" ht="20.5" thickBot="1">
      <c r="B6" s="144" t="s">
        <v>75</v>
      </c>
      <c r="C6" s="145"/>
      <c r="D6" s="145"/>
      <c r="E6" s="145"/>
      <c r="F6" s="146"/>
      <c r="G6" s="164" t="s">
        <v>76</v>
      </c>
      <c r="H6" s="165"/>
      <c r="I6" s="165"/>
      <c r="J6" s="165"/>
      <c r="K6" s="165"/>
      <c r="L6" s="165"/>
      <c r="M6" s="168" t="s">
        <v>71</v>
      </c>
      <c r="N6" s="169"/>
      <c r="O6" s="169"/>
      <c r="P6" s="153" t="s">
        <v>83</v>
      </c>
      <c r="Q6" s="154"/>
      <c r="R6" s="154"/>
      <c r="S6" s="154"/>
      <c r="T6" s="154"/>
      <c r="U6" s="154"/>
      <c r="V6" s="155"/>
    </row>
    <row r="7" spans="2:24" ht="59.25" customHeight="1" thickBot="1">
      <c r="B7" s="147"/>
      <c r="C7" s="148"/>
      <c r="D7" s="148"/>
      <c r="E7" s="148"/>
      <c r="F7" s="149"/>
      <c r="G7" s="166"/>
      <c r="H7" s="167"/>
      <c r="I7" s="167"/>
      <c r="J7" s="167"/>
      <c r="K7" s="167"/>
      <c r="L7" s="167"/>
      <c r="M7" s="43" t="s">
        <v>170</v>
      </c>
      <c r="N7" s="43" t="s">
        <v>171</v>
      </c>
      <c r="O7" s="44" t="s">
        <v>173</v>
      </c>
      <c r="P7" s="156"/>
      <c r="Q7" s="157"/>
      <c r="R7" s="157"/>
      <c r="S7" s="157"/>
      <c r="T7" s="157"/>
      <c r="U7" s="157"/>
      <c r="V7" s="158"/>
    </row>
    <row r="8" spans="2:24" ht="81" customHeight="1" thickBot="1">
      <c r="B8" s="150"/>
      <c r="C8" s="151"/>
      <c r="D8" s="151"/>
      <c r="E8" s="151"/>
      <c r="F8" s="152"/>
      <c r="G8" s="45" t="s">
        <v>164</v>
      </c>
      <c r="H8" s="46" t="s">
        <v>165</v>
      </c>
      <c r="I8" s="46" t="s">
        <v>166</v>
      </c>
      <c r="J8" s="46" t="s">
        <v>167</v>
      </c>
      <c r="K8" s="46" t="s">
        <v>74</v>
      </c>
      <c r="L8" s="47" t="s">
        <v>79</v>
      </c>
      <c r="M8" s="80" t="s">
        <v>168</v>
      </c>
      <c r="N8" s="80" t="s">
        <v>172</v>
      </c>
      <c r="O8" s="48" t="s">
        <v>174</v>
      </c>
      <c r="P8" s="159"/>
      <c r="Q8" s="160"/>
      <c r="R8" s="160"/>
      <c r="S8" s="160"/>
      <c r="T8" s="160"/>
      <c r="U8" s="160"/>
      <c r="V8" s="161"/>
    </row>
    <row r="9" spans="2:24" ht="72" customHeight="1" thickBot="1">
      <c r="B9" s="49" t="s">
        <v>64</v>
      </c>
      <c r="C9" s="172" t="s">
        <v>65</v>
      </c>
      <c r="D9" s="173"/>
      <c r="E9" s="50" t="s">
        <v>72</v>
      </c>
      <c r="F9" s="51" t="s">
        <v>80</v>
      </c>
      <c r="G9" s="170" t="s">
        <v>70</v>
      </c>
      <c r="H9" s="171"/>
      <c r="I9" s="171"/>
      <c r="J9" s="171"/>
      <c r="K9" s="171"/>
      <c r="L9" s="171"/>
      <c r="M9" s="170" t="s">
        <v>169</v>
      </c>
      <c r="N9" s="171"/>
      <c r="O9" s="171"/>
      <c r="P9" s="52" t="s">
        <v>66</v>
      </c>
      <c r="Q9" s="52" t="s">
        <v>67</v>
      </c>
      <c r="R9" s="52" t="s">
        <v>68</v>
      </c>
      <c r="S9" s="52" t="s">
        <v>0</v>
      </c>
      <c r="T9" s="52" t="s">
        <v>69</v>
      </c>
      <c r="U9" s="52" t="s">
        <v>1</v>
      </c>
      <c r="V9" s="52" t="s">
        <v>2</v>
      </c>
    </row>
    <row r="10" spans="2:24" ht="98">
      <c r="B10" s="73">
        <v>1</v>
      </c>
      <c r="C10" s="74" t="s">
        <v>84</v>
      </c>
      <c r="D10" s="77" t="s">
        <v>85</v>
      </c>
      <c r="E10" s="78" t="s">
        <v>162</v>
      </c>
      <c r="F10" s="78">
        <v>1</v>
      </c>
      <c r="G10" s="64">
        <v>1350765</v>
      </c>
      <c r="H10" s="65">
        <v>2975000</v>
      </c>
      <c r="I10" s="66">
        <v>8710800</v>
      </c>
      <c r="J10" s="66">
        <v>1071000</v>
      </c>
      <c r="K10" s="54"/>
      <c r="L10" s="55"/>
      <c r="M10" s="81"/>
      <c r="N10" s="81"/>
      <c r="O10" s="81"/>
      <c r="P10" s="57">
        <f t="shared" ref="P10:P16" si="0">COUNT(G10:O10)</f>
        <v>4</v>
      </c>
      <c r="Q10" s="58">
        <f t="shared" ref="Q10:Q16" si="1">ROUND(AVERAGE(G10:O10),0)</f>
        <v>3526891</v>
      </c>
      <c r="R10" s="59">
        <f t="shared" ref="R10:R16" si="2">ROUND(+Q10*F10,0)</f>
        <v>3526891</v>
      </c>
      <c r="S10" s="60">
        <f t="shared" ref="S10:S16" si="3">STDEVP(G10:O10)</f>
        <v>3079952.1574173337</v>
      </c>
      <c r="T10" s="61">
        <f t="shared" ref="T10:T16" si="4">S10/Q10*100</f>
        <v>87.327682012779348</v>
      </c>
      <c r="U10" s="62">
        <f t="shared" ref="U10:U16" si="5">100-T10</f>
        <v>12.672317987220652</v>
      </c>
      <c r="V10" s="63" t="str">
        <f t="shared" ref="V10:V16" si="6">IF(U10&gt;70,"ALTO","BAJO")</f>
        <v>BAJO</v>
      </c>
    </row>
    <row r="11" spans="2:24" ht="84">
      <c r="B11" s="73">
        <v>2</v>
      </c>
      <c r="C11" s="74" t="s">
        <v>84</v>
      </c>
      <c r="D11" s="75" t="s">
        <v>86</v>
      </c>
      <c r="E11" s="78" t="s">
        <v>162</v>
      </c>
      <c r="F11" s="78">
        <v>1</v>
      </c>
      <c r="G11" s="64">
        <v>1719377</v>
      </c>
      <c r="H11" s="65">
        <v>4403000</v>
      </c>
      <c r="I11" s="66">
        <v>9436700</v>
      </c>
      <c r="J11" s="66">
        <v>1368500</v>
      </c>
      <c r="K11" s="54"/>
      <c r="L11" s="55"/>
      <c r="M11" s="81"/>
      <c r="N11" s="81"/>
      <c r="O11" s="81"/>
      <c r="P11" s="57">
        <f t="shared" si="0"/>
        <v>4</v>
      </c>
      <c r="Q11" s="58">
        <f t="shared" si="1"/>
        <v>4231894</v>
      </c>
      <c r="R11" s="59">
        <f t="shared" si="2"/>
        <v>4231894</v>
      </c>
      <c r="S11" s="60">
        <f t="shared" si="3"/>
        <v>3226106.3852342484</v>
      </c>
      <c r="T11" s="61">
        <f t="shared" si="4"/>
        <v>76.233156719763031</v>
      </c>
      <c r="U11" s="62">
        <f t="shared" si="5"/>
        <v>23.766843280236969</v>
      </c>
      <c r="V11" s="63" t="str">
        <f t="shared" si="6"/>
        <v>BAJO</v>
      </c>
    </row>
    <row r="12" spans="2:24" ht="70">
      <c r="B12" s="76">
        <v>3</v>
      </c>
      <c r="C12" s="74" t="s">
        <v>84</v>
      </c>
      <c r="D12" s="77" t="s">
        <v>87</v>
      </c>
      <c r="E12" s="78" t="s">
        <v>162</v>
      </c>
      <c r="F12" s="78">
        <v>1</v>
      </c>
      <c r="G12" s="64">
        <v>3718750</v>
      </c>
      <c r="H12" s="65">
        <v>5831000</v>
      </c>
      <c r="I12" s="66">
        <v>10162600</v>
      </c>
      <c r="J12" s="66">
        <v>2915500</v>
      </c>
      <c r="K12" s="54"/>
      <c r="L12" s="55"/>
      <c r="M12" s="81"/>
      <c r="N12" s="81"/>
      <c r="O12" s="81"/>
      <c r="P12" s="57">
        <f t="shared" si="0"/>
        <v>4</v>
      </c>
      <c r="Q12" s="58">
        <f t="shared" si="1"/>
        <v>5656963</v>
      </c>
      <c r="R12" s="59">
        <f t="shared" si="2"/>
        <v>5656963</v>
      </c>
      <c r="S12" s="60">
        <f t="shared" si="3"/>
        <v>2810842.5190178743</v>
      </c>
      <c r="T12" s="61">
        <f t="shared" si="4"/>
        <v>49.688189917768142</v>
      </c>
      <c r="U12" s="62">
        <f t="shared" si="5"/>
        <v>50.311810082231858</v>
      </c>
      <c r="V12" s="63" t="str">
        <f t="shared" si="6"/>
        <v>BAJO</v>
      </c>
    </row>
    <row r="13" spans="2:24" ht="70">
      <c r="B13" s="73">
        <v>4</v>
      </c>
      <c r="C13" s="74" t="s">
        <v>84</v>
      </c>
      <c r="D13" s="75" t="s">
        <v>88</v>
      </c>
      <c r="E13" s="78" t="s">
        <v>162</v>
      </c>
      <c r="F13" s="78">
        <v>1</v>
      </c>
      <c r="G13" s="64">
        <v>9222500</v>
      </c>
      <c r="H13" s="65">
        <v>5831000</v>
      </c>
      <c r="I13" s="66">
        <v>26132400</v>
      </c>
      <c r="J13" s="66">
        <v>7140000</v>
      </c>
      <c r="K13" s="54"/>
      <c r="L13" s="55"/>
      <c r="M13" s="81"/>
      <c r="N13" s="81"/>
      <c r="O13" s="81"/>
      <c r="P13" s="57">
        <f t="shared" si="0"/>
        <v>4</v>
      </c>
      <c r="Q13" s="58">
        <f t="shared" si="1"/>
        <v>12081475</v>
      </c>
      <c r="R13" s="59">
        <f t="shared" si="2"/>
        <v>12081475</v>
      </c>
      <c r="S13" s="60">
        <f t="shared" si="3"/>
        <v>8201963.8548871335</v>
      </c>
      <c r="T13" s="61">
        <f t="shared" si="4"/>
        <v>67.88876238114247</v>
      </c>
      <c r="U13" s="62">
        <f t="shared" si="5"/>
        <v>32.11123761885753</v>
      </c>
      <c r="V13" s="63" t="str">
        <f t="shared" si="6"/>
        <v>BAJO</v>
      </c>
    </row>
    <row r="14" spans="2:24">
      <c r="B14" s="73">
        <v>5</v>
      </c>
      <c r="C14" s="74" t="s">
        <v>89</v>
      </c>
      <c r="D14" s="77" t="s">
        <v>90</v>
      </c>
      <c r="E14" s="78" t="s">
        <v>162</v>
      </c>
      <c r="F14" s="78">
        <v>1</v>
      </c>
      <c r="G14" s="64">
        <v>2975</v>
      </c>
      <c r="H14" s="65">
        <v>4760</v>
      </c>
      <c r="I14" s="66">
        <v>217770</v>
      </c>
      <c r="J14" s="66">
        <v>2142</v>
      </c>
      <c r="K14" s="54"/>
      <c r="L14" s="55"/>
      <c r="M14" s="64">
        <f>2023*1.00338</f>
        <v>2029.8377399999999</v>
      </c>
      <c r="N14" s="53">
        <f>1723*1.051</f>
        <v>1810.8729999999998</v>
      </c>
      <c r="O14" s="56">
        <f>2154*1.0515</f>
        <v>2264.931</v>
      </c>
      <c r="P14" s="57">
        <f t="shared" si="0"/>
        <v>7</v>
      </c>
      <c r="Q14" s="58">
        <f t="shared" si="1"/>
        <v>33393</v>
      </c>
      <c r="R14" s="59">
        <f t="shared" si="2"/>
        <v>33393</v>
      </c>
      <c r="S14" s="60">
        <f t="shared" si="3"/>
        <v>75277.241784785059</v>
      </c>
      <c r="T14" s="61">
        <f t="shared" si="4"/>
        <v>225.42820886049492</v>
      </c>
      <c r="U14" s="62">
        <f t="shared" si="5"/>
        <v>-125.42820886049492</v>
      </c>
      <c r="V14" s="63" t="str">
        <f t="shared" si="6"/>
        <v>BAJO</v>
      </c>
    </row>
    <row r="15" spans="2:24">
      <c r="B15" s="73">
        <v>6</v>
      </c>
      <c r="C15" s="74" t="s">
        <v>91</v>
      </c>
      <c r="D15" s="75" t="s">
        <v>92</v>
      </c>
      <c r="E15" s="78" t="s">
        <v>162</v>
      </c>
      <c r="F15" s="78">
        <v>1</v>
      </c>
      <c r="G15" s="64">
        <v>380800</v>
      </c>
      <c r="H15" s="65">
        <v>202300</v>
      </c>
      <c r="I15" s="66">
        <v>31939.599999999999</v>
      </c>
      <c r="J15" s="66">
        <v>202300</v>
      </c>
      <c r="K15" s="54"/>
      <c r="L15" s="55"/>
      <c r="M15" s="64">
        <f>190400*1.00338</f>
        <v>191043.552</v>
      </c>
      <c r="N15" s="53">
        <f>172054*1.051</f>
        <v>180828.75399999999</v>
      </c>
      <c r="O15" s="56">
        <f>163665*1.0515</f>
        <v>172093.74750000003</v>
      </c>
      <c r="P15" s="57">
        <f t="shared" si="0"/>
        <v>7</v>
      </c>
      <c r="Q15" s="58">
        <f t="shared" si="1"/>
        <v>194472</v>
      </c>
      <c r="R15" s="59">
        <f t="shared" si="2"/>
        <v>194472</v>
      </c>
      <c r="S15" s="60">
        <f t="shared" si="3"/>
        <v>94079.099245132442</v>
      </c>
      <c r="T15" s="61">
        <f t="shared" si="4"/>
        <v>48.376681087833951</v>
      </c>
      <c r="U15" s="62">
        <f t="shared" si="5"/>
        <v>51.623318912166049</v>
      </c>
      <c r="V15" s="63" t="str">
        <f t="shared" si="6"/>
        <v>BAJO</v>
      </c>
    </row>
    <row r="16" spans="2:24">
      <c r="B16" s="76">
        <v>7</v>
      </c>
      <c r="C16" s="74" t="s">
        <v>93</v>
      </c>
      <c r="D16" s="75" t="s">
        <v>94</v>
      </c>
      <c r="E16" s="78" t="s">
        <v>162</v>
      </c>
      <c r="F16" s="78">
        <v>1</v>
      </c>
      <c r="G16" s="64">
        <v>404600</v>
      </c>
      <c r="H16" s="65">
        <v>428400</v>
      </c>
      <c r="I16" s="66">
        <v>174216</v>
      </c>
      <c r="J16" s="66">
        <v>238000</v>
      </c>
      <c r="K16" s="54"/>
      <c r="L16" s="55"/>
      <c r="M16" s="64">
        <f>249900*1.00338</f>
        <v>250744.66199999998</v>
      </c>
      <c r="N16" s="53">
        <f>177708*1.051</f>
        <v>186771.10799999998</v>
      </c>
      <c r="O16" s="56">
        <f>199295*1.0515</f>
        <v>209558.69250000003</v>
      </c>
      <c r="P16" s="57">
        <f t="shared" si="0"/>
        <v>7</v>
      </c>
      <c r="Q16" s="58">
        <f t="shared" si="1"/>
        <v>270327</v>
      </c>
      <c r="R16" s="59">
        <f t="shared" si="2"/>
        <v>270327</v>
      </c>
      <c r="S16" s="60">
        <f t="shared" si="3"/>
        <v>95884.240738187553</v>
      </c>
      <c r="T16" s="61">
        <f t="shared" si="4"/>
        <v>35.469723978066398</v>
      </c>
      <c r="U16" s="62">
        <f t="shared" si="5"/>
        <v>64.530276021933602</v>
      </c>
      <c r="V16" s="63" t="str">
        <f t="shared" si="6"/>
        <v>BAJO</v>
      </c>
    </row>
    <row r="17" spans="2:22">
      <c r="B17" s="73">
        <v>8</v>
      </c>
      <c r="C17" s="74" t="s">
        <v>95</v>
      </c>
      <c r="D17" s="75" t="s">
        <v>96</v>
      </c>
      <c r="E17" s="78" t="s">
        <v>162</v>
      </c>
      <c r="F17" s="78">
        <v>1</v>
      </c>
      <c r="G17" s="64">
        <v>666400</v>
      </c>
      <c r="H17" s="65">
        <v>523600</v>
      </c>
      <c r="I17" s="66">
        <v>108885</v>
      </c>
      <c r="J17" s="66">
        <v>95200</v>
      </c>
      <c r="K17" s="54"/>
      <c r="L17" s="55"/>
      <c r="M17" s="64">
        <f>83300*1.00338</f>
        <v>83581.553999999989</v>
      </c>
      <c r="N17" s="53">
        <f>80477*1.051</f>
        <v>84581.32699999999</v>
      </c>
      <c r="O17" s="56">
        <f>112503*1.0515</f>
        <v>118296.9045</v>
      </c>
      <c r="P17" s="57">
        <f t="shared" ref="P17:P56" si="7">COUNT(G17:O17)</f>
        <v>7</v>
      </c>
      <c r="Q17" s="58">
        <f t="shared" ref="Q17:Q56" si="8">ROUND(AVERAGE(G17:O17),0)</f>
        <v>240078</v>
      </c>
      <c r="R17" s="59">
        <f t="shared" ref="R17:R56" si="9">ROUND(+Q17*F17,0)</f>
        <v>240078</v>
      </c>
      <c r="S17" s="60">
        <f t="shared" ref="S17:S56" si="10">STDEVP(G17:O17)</f>
        <v>227984.14683189493</v>
      </c>
      <c r="T17" s="61">
        <f t="shared" ref="T17:T56" si="11">S17/Q17*100</f>
        <v>94.962531690490152</v>
      </c>
      <c r="U17" s="62">
        <f t="shared" ref="U17:U56" si="12">100-T17</f>
        <v>5.0374683095098476</v>
      </c>
      <c r="V17" s="63" t="str">
        <f t="shared" ref="V17:V56" si="13">IF(U17&gt;70,"ALTO","BAJO")</f>
        <v>BAJO</v>
      </c>
    </row>
    <row r="18" spans="2:22">
      <c r="B18" s="73">
        <v>9</v>
      </c>
      <c r="C18" s="74" t="s">
        <v>97</v>
      </c>
      <c r="D18" s="75" t="s">
        <v>98</v>
      </c>
      <c r="E18" s="78" t="s">
        <v>162</v>
      </c>
      <c r="F18" s="78">
        <v>1</v>
      </c>
      <c r="G18" s="64">
        <v>690200</v>
      </c>
      <c r="H18" s="65">
        <v>154700</v>
      </c>
      <c r="I18" s="66">
        <v>50813</v>
      </c>
      <c r="J18" s="66">
        <v>95200</v>
      </c>
      <c r="K18" s="54"/>
      <c r="L18" s="55"/>
      <c r="M18" s="64">
        <f>83300*1.00338</f>
        <v>83581.553999999989</v>
      </c>
      <c r="N18" s="53">
        <f>92174*1.051</f>
        <v>96874.873999999996</v>
      </c>
      <c r="O18" s="56">
        <f>107283*1.0515</f>
        <v>112808.07450000002</v>
      </c>
      <c r="P18" s="57">
        <f t="shared" si="7"/>
        <v>7</v>
      </c>
      <c r="Q18" s="58">
        <f t="shared" si="8"/>
        <v>183454</v>
      </c>
      <c r="R18" s="59">
        <f t="shared" si="9"/>
        <v>183454</v>
      </c>
      <c r="S18" s="60">
        <f t="shared" si="10"/>
        <v>208895.73672311916</v>
      </c>
      <c r="T18" s="61">
        <f t="shared" si="11"/>
        <v>113.86818315388008</v>
      </c>
      <c r="U18" s="62">
        <f t="shared" si="12"/>
        <v>-13.868183153880082</v>
      </c>
      <c r="V18" s="63" t="str">
        <f t="shared" si="13"/>
        <v>BAJO</v>
      </c>
    </row>
    <row r="19" spans="2:22">
      <c r="B19" s="73">
        <v>10</v>
      </c>
      <c r="C19" s="74" t="s">
        <v>99</v>
      </c>
      <c r="D19" s="75" t="s">
        <v>100</v>
      </c>
      <c r="E19" s="78" t="s">
        <v>162</v>
      </c>
      <c r="F19" s="78">
        <v>1</v>
      </c>
      <c r="G19" s="64">
        <v>452200</v>
      </c>
      <c r="H19" s="65">
        <v>928200</v>
      </c>
      <c r="I19" s="66">
        <v>653310</v>
      </c>
      <c r="J19" s="66">
        <v>452200</v>
      </c>
      <c r="K19" s="54"/>
      <c r="L19" s="55"/>
      <c r="M19" s="64">
        <f>452200*1.00338</f>
        <v>453728.43599999999</v>
      </c>
      <c r="N19" s="53">
        <f>351251*1.051</f>
        <v>369164.80099999998</v>
      </c>
      <c r="O19" s="56">
        <f>586139*1.0515</f>
        <v>616325.15850000002</v>
      </c>
      <c r="P19" s="57">
        <f t="shared" si="7"/>
        <v>7</v>
      </c>
      <c r="Q19" s="58">
        <f t="shared" si="8"/>
        <v>560733</v>
      </c>
      <c r="R19" s="59">
        <f t="shared" si="9"/>
        <v>560733</v>
      </c>
      <c r="S19" s="60">
        <f t="shared" si="10"/>
        <v>176635.28237855135</v>
      </c>
      <c r="T19" s="61">
        <f t="shared" si="11"/>
        <v>31.500782436302366</v>
      </c>
      <c r="U19" s="62">
        <f t="shared" si="12"/>
        <v>68.499217563697641</v>
      </c>
      <c r="V19" s="63" t="str">
        <f t="shared" si="13"/>
        <v>BAJO</v>
      </c>
    </row>
    <row r="20" spans="2:22" ht="126">
      <c r="B20" s="76">
        <v>11</v>
      </c>
      <c r="C20" s="74" t="s">
        <v>101</v>
      </c>
      <c r="D20" s="75" t="s">
        <v>102</v>
      </c>
      <c r="E20" s="78" t="s">
        <v>162</v>
      </c>
      <c r="F20" s="78">
        <v>1</v>
      </c>
      <c r="G20" s="64">
        <v>2201500</v>
      </c>
      <c r="H20" s="65">
        <v>3451000</v>
      </c>
      <c r="I20" s="66">
        <v>7259000</v>
      </c>
      <c r="J20" s="66">
        <v>1225700</v>
      </c>
      <c r="K20" s="54"/>
      <c r="L20" s="55"/>
      <c r="M20" s="64">
        <f>1190000*1.00338</f>
        <v>1194022.2</v>
      </c>
      <c r="N20" s="53">
        <f>985575*1.051</f>
        <v>1035839.325</v>
      </c>
      <c r="O20" s="56">
        <f>1185069*1.0515</f>
        <v>1246100.0535000002</v>
      </c>
      <c r="P20" s="57">
        <f t="shared" si="7"/>
        <v>7</v>
      </c>
      <c r="Q20" s="58">
        <f t="shared" si="8"/>
        <v>2516166</v>
      </c>
      <c r="R20" s="59">
        <f t="shared" si="9"/>
        <v>2516166</v>
      </c>
      <c r="S20" s="60">
        <f t="shared" si="10"/>
        <v>2093705.0190947531</v>
      </c>
      <c r="T20" s="61">
        <f t="shared" si="11"/>
        <v>83.210130774152148</v>
      </c>
      <c r="U20" s="62">
        <f t="shared" si="12"/>
        <v>16.789869225847852</v>
      </c>
      <c r="V20" s="63" t="str">
        <f t="shared" si="13"/>
        <v>BAJO</v>
      </c>
    </row>
    <row r="21" spans="2:22" ht="126">
      <c r="B21" s="73">
        <v>12</v>
      </c>
      <c r="C21" s="74" t="s">
        <v>103</v>
      </c>
      <c r="D21" s="75" t="s">
        <v>104</v>
      </c>
      <c r="E21" s="78" t="s">
        <v>162</v>
      </c>
      <c r="F21" s="78">
        <v>1</v>
      </c>
      <c r="G21" s="64">
        <v>3808000</v>
      </c>
      <c r="H21" s="65">
        <v>5355000</v>
      </c>
      <c r="I21" s="66">
        <v>5807200</v>
      </c>
      <c r="J21" s="66">
        <v>1428000</v>
      </c>
      <c r="K21" s="54"/>
      <c r="L21" s="55"/>
      <c r="M21" s="64">
        <f>1309000*1.00338</f>
        <v>1313424.42</v>
      </c>
      <c r="N21" s="53">
        <f>1078172*1.051</f>
        <v>1133158.7719999999</v>
      </c>
      <c r="O21" s="56">
        <f>1185069*1.0515</f>
        <v>1246100.0535000002</v>
      </c>
      <c r="P21" s="57">
        <f t="shared" si="7"/>
        <v>7</v>
      </c>
      <c r="Q21" s="58">
        <f t="shared" si="8"/>
        <v>2870126</v>
      </c>
      <c r="R21" s="59">
        <f t="shared" si="9"/>
        <v>2870126</v>
      </c>
      <c r="S21" s="60">
        <f t="shared" si="10"/>
        <v>1921241.1446893048</v>
      </c>
      <c r="T21" s="61">
        <f t="shared" si="11"/>
        <v>66.939261366549928</v>
      </c>
      <c r="U21" s="62">
        <f t="shared" si="12"/>
        <v>33.060738633450072</v>
      </c>
      <c r="V21" s="63" t="str">
        <f t="shared" si="13"/>
        <v>BAJO</v>
      </c>
    </row>
    <row r="22" spans="2:22" ht="98.4" customHeight="1">
      <c r="B22" s="73">
        <v>13</v>
      </c>
      <c r="C22" s="74" t="s">
        <v>105</v>
      </c>
      <c r="D22" s="75" t="s">
        <v>106</v>
      </c>
      <c r="E22" s="78" t="s">
        <v>162</v>
      </c>
      <c r="F22" s="78">
        <v>1</v>
      </c>
      <c r="G22" s="64">
        <v>768516</v>
      </c>
      <c r="H22" s="65">
        <v>595000</v>
      </c>
      <c r="I22" s="66">
        <v>406504</v>
      </c>
      <c r="J22" s="66">
        <v>595000</v>
      </c>
      <c r="K22" s="54"/>
      <c r="L22" s="55"/>
      <c r="M22" s="81"/>
      <c r="N22" s="81"/>
      <c r="O22" s="81"/>
      <c r="P22" s="57">
        <f t="shared" si="7"/>
        <v>4</v>
      </c>
      <c r="Q22" s="58">
        <f t="shared" si="8"/>
        <v>591255</v>
      </c>
      <c r="R22" s="59">
        <f t="shared" si="9"/>
        <v>591255</v>
      </c>
      <c r="S22" s="60">
        <f t="shared" si="10"/>
        <v>128045.34760388602</v>
      </c>
      <c r="T22" s="61">
        <f t="shared" si="11"/>
        <v>21.656535268857944</v>
      </c>
      <c r="U22" s="62">
        <f t="shared" si="12"/>
        <v>78.343464731142063</v>
      </c>
      <c r="V22" s="63" t="str">
        <f t="shared" si="13"/>
        <v>ALTO</v>
      </c>
    </row>
    <row r="23" spans="2:22">
      <c r="B23" s="73">
        <v>14</v>
      </c>
      <c r="C23" s="74" t="s">
        <v>107</v>
      </c>
      <c r="D23" s="75" t="s">
        <v>108</v>
      </c>
      <c r="E23" s="78" t="s">
        <v>162</v>
      </c>
      <c r="F23" s="78">
        <v>1</v>
      </c>
      <c r="G23" s="64">
        <v>1676874</v>
      </c>
      <c r="H23" s="65">
        <v>2142000</v>
      </c>
      <c r="I23" s="66">
        <v>1742160</v>
      </c>
      <c r="J23" s="66">
        <v>1309000</v>
      </c>
      <c r="K23" s="54"/>
      <c r="L23" s="55"/>
      <c r="M23" s="64">
        <f>1309000*1.00338</f>
        <v>1313424.42</v>
      </c>
      <c r="N23" s="53">
        <f>678886*1.051</f>
        <v>713509.18599999999</v>
      </c>
      <c r="O23" s="56">
        <f>166667*1.0515</f>
        <v>175250.35050000003</v>
      </c>
      <c r="P23" s="57">
        <f t="shared" si="7"/>
        <v>7</v>
      </c>
      <c r="Q23" s="58">
        <f t="shared" si="8"/>
        <v>1296031</v>
      </c>
      <c r="R23" s="59">
        <f t="shared" si="9"/>
        <v>1296031</v>
      </c>
      <c r="S23" s="60">
        <f t="shared" si="10"/>
        <v>615941.51836850017</v>
      </c>
      <c r="T23" s="61">
        <f t="shared" si="11"/>
        <v>47.525214934557908</v>
      </c>
      <c r="U23" s="62">
        <f t="shared" si="12"/>
        <v>52.474785065442092</v>
      </c>
      <c r="V23" s="63" t="str">
        <f t="shared" si="13"/>
        <v>BAJO</v>
      </c>
    </row>
    <row r="24" spans="2:22" ht="84">
      <c r="B24" s="76">
        <v>15</v>
      </c>
      <c r="C24" s="74" t="s">
        <v>109</v>
      </c>
      <c r="D24" s="75" t="s">
        <v>110</v>
      </c>
      <c r="E24" s="78" t="s">
        <v>162</v>
      </c>
      <c r="F24" s="78">
        <v>1</v>
      </c>
      <c r="G24" s="64">
        <v>89745</v>
      </c>
      <c r="H24" s="65">
        <v>66640</v>
      </c>
      <c r="I24" s="66">
        <v>46457.599999999999</v>
      </c>
      <c r="J24" s="66">
        <v>77350</v>
      </c>
      <c r="K24" s="54"/>
      <c r="L24" s="55"/>
      <c r="M24" s="81"/>
      <c r="N24" s="81"/>
      <c r="O24" s="81"/>
      <c r="P24" s="57">
        <f t="shared" si="7"/>
        <v>4</v>
      </c>
      <c r="Q24" s="58">
        <f t="shared" si="8"/>
        <v>70048</v>
      </c>
      <c r="R24" s="59">
        <f t="shared" si="9"/>
        <v>70048</v>
      </c>
      <c r="S24" s="60">
        <f t="shared" si="10"/>
        <v>15885.625963980799</v>
      </c>
      <c r="T24" s="61">
        <f t="shared" si="11"/>
        <v>22.678200610982184</v>
      </c>
      <c r="U24" s="62">
        <f t="shared" si="12"/>
        <v>77.321799389017812</v>
      </c>
      <c r="V24" s="63" t="str">
        <f t="shared" si="13"/>
        <v>ALTO</v>
      </c>
    </row>
    <row r="25" spans="2:22">
      <c r="B25" s="73">
        <v>16</v>
      </c>
      <c r="C25" s="74" t="s">
        <v>111</v>
      </c>
      <c r="D25" s="75" t="s">
        <v>112</v>
      </c>
      <c r="E25" s="78" t="s">
        <v>162</v>
      </c>
      <c r="F25" s="78">
        <v>1</v>
      </c>
      <c r="G25" s="64">
        <v>4046000</v>
      </c>
      <c r="H25" s="65">
        <v>1785000</v>
      </c>
      <c r="I25" s="66">
        <v>310685.2</v>
      </c>
      <c r="J25" s="66">
        <v>1011500</v>
      </c>
      <c r="K25" s="54"/>
      <c r="L25" s="55"/>
      <c r="M25" s="64">
        <f>952000*1.00338</f>
        <v>955217.75999999989</v>
      </c>
      <c r="N25" s="53">
        <f>846609*1.051</f>
        <v>889786.05899999989</v>
      </c>
      <c r="O25" s="56">
        <f>994910*1.0515</f>
        <v>1046147.8650000001</v>
      </c>
      <c r="P25" s="57">
        <f t="shared" si="7"/>
        <v>7</v>
      </c>
      <c r="Q25" s="58">
        <f t="shared" si="8"/>
        <v>1434905</v>
      </c>
      <c r="R25" s="59">
        <f t="shared" si="9"/>
        <v>1434905</v>
      </c>
      <c r="S25" s="60">
        <f t="shared" si="10"/>
        <v>1137786.8353490799</v>
      </c>
      <c r="T25" s="61">
        <f t="shared" si="11"/>
        <v>79.293530606491714</v>
      </c>
      <c r="U25" s="62">
        <f t="shared" si="12"/>
        <v>20.706469393508286</v>
      </c>
      <c r="V25" s="63" t="str">
        <f t="shared" si="13"/>
        <v>BAJO</v>
      </c>
    </row>
    <row r="26" spans="2:22" ht="98">
      <c r="B26" s="73">
        <v>17</v>
      </c>
      <c r="C26" s="74" t="s">
        <v>113</v>
      </c>
      <c r="D26" s="75" t="s">
        <v>114</v>
      </c>
      <c r="E26" s="78" t="s">
        <v>162</v>
      </c>
      <c r="F26" s="78">
        <v>1</v>
      </c>
      <c r="G26" s="64">
        <v>8568000</v>
      </c>
      <c r="H26" s="65">
        <v>8330000</v>
      </c>
      <c r="I26" s="66">
        <v>10888500</v>
      </c>
      <c r="J26" s="66">
        <v>5831000</v>
      </c>
      <c r="K26" s="54"/>
      <c r="L26" s="55"/>
      <c r="M26" s="64">
        <f>5474000*1.00338</f>
        <v>5492502.1200000001</v>
      </c>
      <c r="N26" s="53">
        <f>5269753*1.051</f>
        <v>5538510.4029999999</v>
      </c>
      <c r="O26" s="56">
        <f>5873138*1.0515</f>
        <v>6175604.6070000008</v>
      </c>
      <c r="P26" s="57">
        <f t="shared" si="7"/>
        <v>7</v>
      </c>
      <c r="Q26" s="58">
        <f t="shared" si="8"/>
        <v>7260588</v>
      </c>
      <c r="R26" s="59">
        <f t="shared" si="9"/>
        <v>7260588</v>
      </c>
      <c r="S26" s="60">
        <f t="shared" si="10"/>
        <v>1902153.0427088728</v>
      </c>
      <c r="T26" s="61">
        <f t="shared" si="11"/>
        <v>26.198333285250076</v>
      </c>
      <c r="U26" s="62">
        <f t="shared" si="12"/>
        <v>73.801666714749928</v>
      </c>
      <c r="V26" s="63" t="str">
        <f t="shared" si="13"/>
        <v>ALTO</v>
      </c>
    </row>
    <row r="27" spans="2:22" ht="28">
      <c r="B27" s="73">
        <v>18</v>
      </c>
      <c r="C27" s="74" t="s">
        <v>115</v>
      </c>
      <c r="D27" s="75" t="s">
        <v>116</v>
      </c>
      <c r="E27" s="78" t="s">
        <v>162</v>
      </c>
      <c r="F27" s="78">
        <v>1</v>
      </c>
      <c r="G27" s="64">
        <v>547400</v>
      </c>
      <c r="H27" s="65">
        <v>666400</v>
      </c>
      <c r="I27" s="66">
        <v>508130</v>
      </c>
      <c r="J27" s="66">
        <v>583100</v>
      </c>
      <c r="K27" s="54"/>
      <c r="L27" s="55"/>
      <c r="M27" s="64">
        <f>571200*1.00338</f>
        <v>573130.65599999996</v>
      </c>
      <c r="N27" s="53">
        <f>550880*1.051</f>
        <v>578974.88</v>
      </c>
      <c r="O27" s="56">
        <f>649047*1.0515</f>
        <v>682472.92050000012</v>
      </c>
      <c r="P27" s="57">
        <f t="shared" si="7"/>
        <v>7</v>
      </c>
      <c r="Q27" s="58">
        <f t="shared" si="8"/>
        <v>591373</v>
      </c>
      <c r="R27" s="59">
        <f t="shared" si="9"/>
        <v>591373</v>
      </c>
      <c r="S27" s="60">
        <f t="shared" si="10"/>
        <v>57750.95180951056</v>
      </c>
      <c r="T27" s="61">
        <f t="shared" si="11"/>
        <v>9.7655712738847669</v>
      </c>
      <c r="U27" s="62">
        <f t="shared" si="12"/>
        <v>90.234428726115226</v>
      </c>
      <c r="V27" s="63" t="str">
        <f t="shared" si="13"/>
        <v>ALTO</v>
      </c>
    </row>
    <row r="28" spans="2:22" ht="112.25" customHeight="1">
      <c r="B28" s="76">
        <v>19</v>
      </c>
      <c r="C28" s="74" t="s">
        <v>117</v>
      </c>
      <c r="D28" s="75" t="s">
        <v>118</v>
      </c>
      <c r="E28" s="78" t="s">
        <v>162</v>
      </c>
      <c r="F28" s="78">
        <v>1</v>
      </c>
      <c r="G28" s="64">
        <v>1279562</v>
      </c>
      <c r="H28" s="65">
        <v>214200</v>
      </c>
      <c r="I28" s="66">
        <v>217770</v>
      </c>
      <c r="J28" s="66">
        <v>226100</v>
      </c>
      <c r="K28" s="54"/>
      <c r="L28" s="55"/>
      <c r="M28" s="81"/>
      <c r="N28" s="53">
        <f>65538*1.051</f>
        <v>68880.437999999995</v>
      </c>
      <c r="O28" s="56">
        <f>94101*1.0515</f>
        <v>98947.20150000001</v>
      </c>
      <c r="P28" s="57">
        <f t="shared" si="7"/>
        <v>6</v>
      </c>
      <c r="Q28" s="58">
        <f t="shared" si="8"/>
        <v>350910</v>
      </c>
      <c r="R28" s="59">
        <f t="shared" si="9"/>
        <v>350910</v>
      </c>
      <c r="S28" s="60">
        <f t="shared" si="10"/>
        <v>419804.29618530616</v>
      </c>
      <c r="T28" s="61">
        <f t="shared" si="11"/>
        <v>119.6330387236916</v>
      </c>
      <c r="U28" s="62">
        <f t="shared" si="12"/>
        <v>-19.633038723691598</v>
      </c>
      <c r="V28" s="63" t="str">
        <f t="shared" si="13"/>
        <v>BAJO</v>
      </c>
    </row>
    <row r="29" spans="2:22" ht="28">
      <c r="B29" s="73">
        <v>20</v>
      </c>
      <c r="C29" s="74" t="s">
        <v>119</v>
      </c>
      <c r="D29" s="75" t="s">
        <v>120</v>
      </c>
      <c r="E29" s="78" t="s">
        <v>162</v>
      </c>
      <c r="F29" s="78">
        <v>1</v>
      </c>
      <c r="G29" s="64">
        <v>8687000</v>
      </c>
      <c r="H29" s="65">
        <v>1309000</v>
      </c>
      <c r="I29" s="66">
        <v>6968640</v>
      </c>
      <c r="J29" s="66">
        <v>1011500</v>
      </c>
      <c r="K29" s="54"/>
      <c r="L29" s="55"/>
      <c r="M29" s="64">
        <f>833000*1.00338</f>
        <v>835815.53999999992</v>
      </c>
      <c r="N29" s="53">
        <f>875293*1.051</f>
        <v>919932.94299999997</v>
      </c>
      <c r="O29" s="56">
        <f>1111981*1.0515</f>
        <v>1169248.0215</v>
      </c>
      <c r="P29" s="57">
        <f t="shared" si="7"/>
        <v>7</v>
      </c>
      <c r="Q29" s="58">
        <f t="shared" si="8"/>
        <v>2985877</v>
      </c>
      <c r="R29" s="59">
        <f t="shared" si="9"/>
        <v>2985877</v>
      </c>
      <c r="S29" s="60">
        <f t="shared" si="10"/>
        <v>3099915.1039184476</v>
      </c>
      <c r="T29" s="61">
        <f t="shared" si="11"/>
        <v>103.81924988599489</v>
      </c>
      <c r="U29" s="62">
        <f t="shared" si="12"/>
        <v>-3.8192498859948927</v>
      </c>
      <c r="V29" s="63" t="str">
        <f t="shared" si="13"/>
        <v>BAJO</v>
      </c>
    </row>
    <row r="30" spans="2:22">
      <c r="B30" s="73">
        <v>21</v>
      </c>
      <c r="C30" s="74" t="s">
        <v>121</v>
      </c>
      <c r="D30" s="75" t="s">
        <v>122</v>
      </c>
      <c r="E30" s="78" t="s">
        <v>162</v>
      </c>
      <c r="F30" s="78">
        <v>1</v>
      </c>
      <c r="G30" s="64">
        <v>975800</v>
      </c>
      <c r="H30" s="65">
        <v>202300</v>
      </c>
      <c r="I30" s="66">
        <v>41957.02</v>
      </c>
      <c r="J30" s="66">
        <v>190400</v>
      </c>
      <c r="K30" s="54"/>
      <c r="L30" s="55"/>
      <c r="M30" s="64">
        <f>202300*1.00338</f>
        <v>202983.77399999998</v>
      </c>
      <c r="N30" s="53">
        <f>56266*1.051</f>
        <v>59135.565999999999</v>
      </c>
      <c r="O30" s="56">
        <f>76090*1.0515</f>
        <v>80008.635000000009</v>
      </c>
      <c r="P30" s="57">
        <f t="shared" si="7"/>
        <v>7</v>
      </c>
      <c r="Q30" s="58">
        <f t="shared" si="8"/>
        <v>250369</v>
      </c>
      <c r="R30" s="59">
        <f t="shared" si="9"/>
        <v>250369</v>
      </c>
      <c r="S30" s="60">
        <f t="shared" si="10"/>
        <v>303180.95463539084</v>
      </c>
      <c r="T30" s="61">
        <f t="shared" si="11"/>
        <v>121.09364763025408</v>
      </c>
      <c r="U30" s="62">
        <f t="shared" si="12"/>
        <v>-21.093647630254083</v>
      </c>
      <c r="V30" s="63" t="str">
        <f t="shared" si="13"/>
        <v>BAJO</v>
      </c>
    </row>
    <row r="31" spans="2:22">
      <c r="B31" s="73">
        <v>22</v>
      </c>
      <c r="C31" s="74" t="s">
        <v>121</v>
      </c>
      <c r="D31" s="75" t="s">
        <v>123</v>
      </c>
      <c r="E31" s="78" t="s">
        <v>162</v>
      </c>
      <c r="F31" s="78">
        <v>1</v>
      </c>
      <c r="G31" s="64">
        <v>1951600</v>
      </c>
      <c r="H31" s="65">
        <v>333200</v>
      </c>
      <c r="I31" s="66">
        <v>55894.3</v>
      </c>
      <c r="J31" s="66">
        <v>273700</v>
      </c>
      <c r="K31" s="54"/>
      <c r="L31" s="55"/>
      <c r="M31" s="64">
        <f>315350*1.00338</f>
        <v>316415.88299999997</v>
      </c>
      <c r="N31" s="53">
        <f>73997*1.051</f>
        <v>77770.846999999994</v>
      </c>
      <c r="O31" s="56">
        <f>104281*1.0515</f>
        <v>109651.47150000001</v>
      </c>
      <c r="P31" s="57">
        <f t="shared" si="7"/>
        <v>7</v>
      </c>
      <c r="Q31" s="58">
        <f t="shared" si="8"/>
        <v>445462</v>
      </c>
      <c r="R31" s="59">
        <f t="shared" si="9"/>
        <v>445462</v>
      </c>
      <c r="S31" s="60">
        <f t="shared" si="10"/>
        <v>624149.4789567258</v>
      </c>
      <c r="T31" s="61">
        <f t="shared" si="11"/>
        <v>140.11284440799122</v>
      </c>
      <c r="U31" s="62">
        <f t="shared" si="12"/>
        <v>-40.112844407991219</v>
      </c>
      <c r="V31" s="63" t="str">
        <f t="shared" si="13"/>
        <v>BAJO</v>
      </c>
    </row>
    <row r="32" spans="2:22" ht="56">
      <c r="B32" s="76">
        <v>23</v>
      </c>
      <c r="C32" s="74" t="s">
        <v>124</v>
      </c>
      <c r="D32" s="75" t="s">
        <v>125</v>
      </c>
      <c r="E32" s="78" t="s">
        <v>162</v>
      </c>
      <c r="F32" s="78">
        <v>1</v>
      </c>
      <c r="G32" s="64">
        <v>3808000</v>
      </c>
      <c r="H32" s="65">
        <v>10281600</v>
      </c>
      <c r="I32" s="66">
        <v>31939600</v>
      </c>
      <c r="J32" s="66">
        <v>5355000</v>
      </c>
      <c r="K32" s="54"/>
      <c r="L32" s="55"/>
      <c r="M32" s="64">
        <f>5355000*1.00338</f>
        <v>5373099.8999999994</v>
      </c>
      <c r="N32" s="53">
        <f>4240599*1.051</f>
        <v>4456869.5489999996</v>
      </c>
      <c r="O32" s="56">
        <f>4959539*1.0515</f>
        <v>5214955.2585000005</v>
      </c>
      <c r="P32" s="57">
        <f t="shared" si="7"/>
        <v>7</v>
      </c>
      <c r="Q32" s="58">
        <f t="shared" si="8"/>
        <v>9489875</v>
      </c>
      <c r="R32" s="59">
        <f t="shared" si="9"/>
        <v>9489875</v>
      </c>
      <c r="S32" s="60">
        <f t="shared" si="10"/>
        <v>9369797.952712154</v>
      </c>
      <c r="T32" s="61">
        <f t="shared" si="11"/>
        <v>98.734682519128597</v>
      </c>
      <c r="U32" s="62">
        <f t="shared" si="12"/>
        <v>1.2653174808714027</v>
      </c>
      <c r="V32" s="63" t="str">
        <f t="shared" si="13"/>
        <v>BAJO</v>
      </c>
    </row>
    <row r="33" spans="2:22" ht="56">
      <c r="B33" s="73">
        <v>24</v>
      </c>
      <c r="C33" s="74" t="s">
        <v>124</v>
      </c>
      <c r="D33" s="75" t="s">
        <v>126</v>
      </c>
      <c r="E33" s="78" t="s">
        <v>162</v>
      </c>
      <c r="F33" s="78">
        <v>1</v>
      </c>
      <c r="G33" s="64">
        <v>2525378</v>
      </c>
      <c r="H33" s="65">
        <v>6188000</v>
      </c>
      <c r="I33" s="66">
        <v>11614400</v>
      </c>
      <c r="J33" s="66">
        <v>1666000</v>
      </c>
      <c r="K33" s="54"/>
      <c r="L33" s="55"/>
      <c r="M33" s="64">
        <f>1428000*1.00338</f>
        <v>1432826.64</v>
      </c>
      <c r="N33" s="53">
        <f>1222919*1.051</f>
        <v>1285287.8689999999</v>
      </c>
      <c r="O33" s="56">
        <f>1566170*1.0515</f>
        <v>1646827.7550000001</v>
      </c>
      <c r="P33" s="57">
        <f t="shared" si="7"/>
        <v>7</v>
      </c>
      <c r="Q33" s="58">
        <f t="shared" si="8"/>
        <v>3765531</v>
      </c>
      <c r="R33" s="59">
        <f t="shared" si="9"/>
        <v>3765531</v>
      </c>
      <c r="S33" s="60">
        <f t="shared" si="10"/>
        <v>3575734.2818124131</v>
      </c>
      <c r="T33" s="61">
        <f t="shared" si="11"/>
        <v>94.959629380621564</v>
      </c>
      <c r="U33" s="62">
        <f t="shared" si="12"/>
        <v>5.0403706193784359</v>
      </c>
      <c r="V33" s="63" t="str">
        <f t="shared" si="13"/>
        <v>BAJO</v>
      </c>
    </row>
    <row r="34" spans="2:22" ht="56">
      <c r="B34" s="73">
        <v>25</v>
      </c>
      <c r="C34" s="74" t="s">
        <v>124</v>
      </c>
      <c r="D34" s="75" t="s">
        <v>127</v>
      </c>
      <c r="E34" s="78" t="s">
        <v>162</v>
      </c>
      <c r="F34" s="78">
        <v>1</v>
      </c>
      <c r="G34" s="64">
        <v>2142000</v>
      </c>
      <c r="H34" s="65">
        <v>2856000</v>
      </c>
      <c r="I34" s="66">
        <v>7259000</v>
      </c>
      <c r="J34" s="66">
        <v>1963500</v>
      </c>
      <c r="K34" s="54"/>
      <c r="L34" s="55"/>
      <c r="M34" s="64">
        <f>1785000*1.00338</f>
        <v>1791033.2999999998</v>
      </c>
      <c r="N34" s="53">
        <f>772816*1.051</f>
        <v>812229.61599999992</v>
      </c>
      <c r="O34" s="56">
        <f>1012137*1.0515</f>
        <v>1064262.0555</v>
      </c>
      <c r="P34" s="57">
        <f t="shared" si="7"/>
        <v>7</v>
      </c>
      <c r="Q34" s="58">
        <f t="shared" si="8"/>
        <v>2555432</v>
      </c>
      <c r="R34" s="59">
        <f t="shared" si="9"/>
        <v>2555432</v>
      </c>
      <c r="S34" s="60">
        <f t="shared" si="10"/>
        <v>2020673.5189754693</v>
      </c>
      <c r="T34" s="61">
        <f t="shared" si="11"/>
        <v>79.073656390601244</v>
      </c>
      <c r="U34" s="62">
        <f t="shared" si="12"/>
        <v>20.926343609398756</v>
      </c>
      <c r="V34" s="63" t="str">
        <f t="shared" si="13"/>
        <v>BAJO</v>
      </c>
    </row>
    <row r="35" spans="2:22">
      <c r="B35" s="73">
        <v>26</v>
      </c>
      <c r="C35" s="74" t="s">
        <v>128</v>
      </c>
      <c r="D35" s="75" t="s">
        <v>129</v>
      </c>
      <c r="E35" s="78" t="s">
        <v>162</v>
      </c>
      <c r="F35" s="78">
        <v>1</v>
      </c>
      <c r="G35" s="64">
        <v>547400</v>
      </c>
      <c r="H35" s="65">
        <v>345100</v>
      </c>
      <c r="I35" s="66">
        <v>551684</v>
      </c>
      <c r="J35" s="66">
        <v>190400</v>
      </c>
      <c r="K35" s="54"/>
      <c r="L35" s="55"/>
      <c r="M35" s="64">
        <f>178500*1.00338</f>
        <v>179103.33</v>
      </c>
      <c r="N35" s="53">
        <f>158279*1.051</f>
        <v>166351.22899999999</v>
      </c>
      <c r="O35" s="56">
        <f>217045*1.0515</f>
        <v>228222.81750000003</v>
      </c>
      <c r="P35" s="57">
        <f t="shared" si="7"/>
        <v>7</v>
      </c>
      <c r="Q35" s="58">
        <f t="shared" si="8"/>
        <v>315466</v>
      </c>
      <c r="R35" s="59">
        <f t="shared" si="9"/>
        <v>315466</v>
      </c>
      <c r="S35" s="60">
        <f t="shared" si="10"/>
        <v>157911.98623853008</v>
      </c>
      <c r="T35" s="61">
        <f t="shared" si="11"/>
        <v>50.056737093230353</v>
      </c>
      <c r="U35" s="62">
        <f t="shared" si="12"/>
        <v>49.943262906769647</v>
      </c>
      <c r="V35" s="63" t="str">
        <f t="shared" si="13"/>
        <v>BAJO</v>
      </c>
    </row>
    <row r="36" spans="2:22">
      <c r="B36" s="76">
        <v>27</v>
      </c>
      <c r="C36" s="74" t="s">
        <v>128</v>
      </c>
      <c r="D36" s="75" t="s">
        <v>130</v>
      </c>
      <c r="E36" s="78" t="s">
        <v>162</v>
      </c>
      <c r="F36" s="78">
        <v>1</v>
      </c>
      <c r="G36" s="64">
        <v>797300</v>
      </c>
      <c r="H36" s="65">
        <v>452200</v>
      </c>
      <c r="I36" s="66">
        <v>711382</v>
      </c>
      <c r="J36" s="66">
        <v>309400</v>
      </c>
      <c r="K36" s="54"/>
      <c r="L36" s="55"/>
      <c r="M36" s="64">
        <f>309400*1.00338</f>
        <v>310445.772</v>
      </c>
      <c r="N36" s="53">
        <f>283067*1.051</f>
        <v>297503.41699999996</v>
      </c>
      <c r="O36" s="56">
        <f>339076*1.0515</f>
        <v>356538.41400000005</v>
      </c>
      <c r="P36" s="57">
        <f t="shared" si="7"/>
        <v>7</v>
      </c>
      <c r="Q36" s="58">
        <f t="shared" si="8"/>
        <v>462110</v>
      </c>
      <c r="R36" s="59">
        <f t="shared" si="9"/>
        <v>462110</v>
      </c>
      <c r="S36" s="60">
        <f t="shared" si="10"/>
        <v>192409.58666207912</v>
      </c>
      <c r="T36" s="61">
        <f t="shared" si="11"/>
        <v>41.637183065088209</v>
      </c>
      <c r="U36" s="62">
        <f t="shared" si="12"/>
        <v>58.362816934911791</v>
      </c>
      <c r="V36" s="63" t="str">
        <f t="shared" si="13"/>
        <v>BAJO</v>
      </c>
    </row>
    <row r="37" spans="2:22">
      <c r="B37" s="73">
        <v>28</v>
      </c>
      <c r="C37" s="74" t="s">
        <v>128</v>
      </c>
      <c r="D37" s="75" t="s">
        <v>131</v>
      </c>
      <c r="E37" s="78" t="s">
        <v>162</v>
      </c>
      <c r="F37" s="78">
        <v>1</v>
      </c>
      <c r="G37" s="64">
        <v>2315998</v>
      </c>
      <c r="H37" s="65">
        <v>952000</v>
      </c>
      <c r="I37" s="66">
        <v>871080</v>
      </c>
      <c r="J37" s="66">
        <v>535500</v>
      </c>
      <c r="K37" s="54"/>
      <c r="L37" s="55"/>
      <c r="M37" s="64">
        <f>547400*1.00338</f>
        <v>549250.21199999994</v>
      </c>
      <c r="N37" s="53">
        <f>600868*1.051</f>
        <v>631512.26799999992</v>
      </c>
      <c r="O37" s="56">
        <f>529627*1.0515</f>
        <v>556902.7905</v>
      </c>
      <c r="P37" s="57">
        <f t="shared" si="7"/>
        <v>7</v>
      </c>
      <c r="Q37" s="58">
        <f t="shared" si="8"/>
        <v>916035</v>
      </c>
      <c r="R37" s="59">
        <f t="shared" si="9"/>
        <v>916035</v>
      </c>
      <c r="S37" s="60">
        <f t="shared" si="10"/>
        <v>591907.07891367923</v>
      </c>
      <c r="T37" s="61">
        <f t="shared" si="11"/>
        <v>64.616207777397079</v>
      </c>
      <c r="U37" s="62">
        <f t="shared" si="12"/>
        <v>35.383792222602921</v>
      </c>
      <c r="V37" s="63" t="str">
        <f t="shared" si="13"/>
        <v>BAJO</v>
      </c>
    </row>
    <row r="38" spans="2:22">
      <c r="B38" s="73">
        <v>29</v>
      </c>
      <c r="C38" s="74" t="s">
        <v>128</v>
      </c>
      <c r="D38" s="75" t="s">
        <v>132</v>
      </c>
      <c r="E38" s="78" t="s">
        <v>162</v>
      </c>
      <c r="F38" s="78">
        <v>1</v>
      </c>
      <c r="G38" s="64">
        <v>3605166</v>
      </c>
      <c r="H38" s="65">
        <v>2332400</v>
      </c>
      <c r="I38" s="66">
        <v>1030778</v>
      </c>
      <c r="J38" s="66">
        <v>1785000</v>
      </c>
      <c r="K38" s="54"/>
      <c r="L38" s="55"/>
      <c r="M38" s="64">
        <f>1666000*1.00338</f>
        <v>1671631.0799999998</v>
      </c>
      <c r="N38" s="53">
        <f>875275*1.051</f>
        <v>919914.02499999991</v>
      </c>
      <c r="O38" s="56">
        <f>741451*1.0515</f>
        <v>779635.72650000011</v>
      </c>
      <c r="P38" s="57">
        <f t="shared" si="7"/>
        <v>7</v>
      </c>
      <c r="Q38" s="58">
        <f t="shared" si="8"/>
        <v>1732075</v>
      </c>
      <c r="R38" s="59">
        <f t="shared" si="9"/>
        <v>1732075</v>
      </c>
      <c r="S38" s="60">
        <f t="shared" si="10"/>
        <v>920704.54577095585</v>
      </c>
      <c r="T38" s="61">
        <f t="shared" si="11"/>
        <v>53.156159275490722</v>
      </c>
      <c r="U38" s="62">
        <f t="shared" si="12"/>
        <v>46.843840724509278</v>
      </c>
      <c r="V38" s="63" t="str">
        <f t="shared" si="13"/>
        <v>BAJO</v>
      </c>
    </row>
    <row r="39" spans="2:22">
      <c r="B39" s="73">
        <v>30</v>
      </c>
      <c r="C39" s="74" t="s">
        <v>128</v>
      </c>
      <c r="D39" s="75" t="s">
        <v>133</v>
      </c>
      <c r="E39" s="78" t="s">
        <v>162</v>
      </c>
      <c r="F39" s="78">
        <v>1</v>
      </c>
      <c r="G39" s="64">
        <v>4998000</v>
      </c>
      <c r="H39" s="65">
        <v>5950000</v>
      </c>
      <c r="I39" s="66">
        <v>1596980</v>
      </c>
      <c r="J39" s="66">
        <v>2856000</v>
      </c>
      <c r="K39" s="54"/>
      <c r="L39" s="55"/>
      <c r="M39" s="64">
        <f>2737000*1.00338</f>
        <v>2746251.06</v>
      </c>
      <c r="N39" s="53">
        <f>947047*1.051</f>
        <v>995346.39699999988</v>
      </c>
      <c r="O39" s="56">
        <f>1174628*1.0515</f>
        <v>1235121.3420000002</v>
      </c>
      <c r="P39" s="57">
        <f t="shared" si="7"/>
        <v>7</v>
      </c>
      <c r="Q39" s="58">
        <f t="shared" si="8"/>
        <v>2911100</v>
      </c>
      <c r="R39" s="59">
        <f t="shared" si="9"/>
        <v>2911100</v>
      </c>
      <c r="S39" s="60">
        <f t="shared" si="10"/>
        <v>1765794.1842087402</v>
      </c>
      <c r="T39" s="61">
        <f t="shared" si="11"/>
        <v>60.657283645657664</v>
      </c>
      <c r="U39" s="62">
        <f t="shared" si="12"/>
        <v>39.342716354342336</v>
      </c>
      <c r="V39" s="63" t="str">
        <f t="shared" si="13"/>
        <v>BAJO</v>
      </c>
    </row>
    <row r="40" spans="2:22">
      <c r="B40" s="76">
        <v>31</v>
      </c>
      <c r="C40" s="74" t="s">
        <v>134</v>
      </c>
      <c r="D40" s="75" t="s">
        <v>135</v>
      </c>
      <c r="E40" s="78" t="s">
        <v>162</v>
      </c>
      <c r="F40" s="78">
        <v>1</v>
      </c>
      <c r="G40" s="64">
        <v>904400</v>
      </c>
      <c r="H40" s="65">
        <v>666400</v>
      </c>
      <c r="I40" s="66">
        <v>2903600</v>
      </c>
      <c r="J40" s="66">
        <v>606900</v>
      </c>
      <c r="K40" s="54"/>
      <c r="L40" s="55"/>
      <c r="M40" s="64">
        <f>595000*1.00338</f>
        <v>597011.1</v>
      </c>
      <c r="N40" s="53">
        <f>521535*1.051</f>
        <v>548133.28499999992</v>
      </c>
      <c r="O40" s="56">
        <f>682720*1.0515</f>
        <v>717880.08000000007</v>
      </c>
      <c r="P40" s="57">
        <f t="shared" si="7"/>
        <v>7</v>
      </c>
      <c r="Q40" s="58">
        <f t="shared" si="8"/>
        <v>992046</v>
      </c>
      <c r="R40" s="59">
        <f t="shared" si="9"/>
        <v>992046</v>
      </c>
      <c r="S40" s="60">
        <f t="shared" si="10"/>
        <v>787798.13379799831</v>
      </c>
      <c r="T40" s="61">
        <f t="shared" si="11"/>
        <v>79.411452069561122</v>
      </c>
      <c r="U40" s="62">
        <f t="shared" si="12"/>
        <v>20.588547930438878</v>
      </c>
      <c r="V40" s="63" t="str">
        <f t="shared" si="13"/>
        <v>BAJO</v>
      </c>
    </row>
    <row r="41" spans="2:22">
      <c r="B41" s="73">
        <v>32</v>
      </c>
      <c r="C41" s="74" t="s">
        <v>134</v>
      </c>
      <c r="D41" s="75" t="s">
        <v>136</v>
      </c>
      <c r="E41" s="78" t="s">
        <v>162</v>
      </c>
      <c r="F41" s="78">
        <v>1</v>
      </c>
      <c r="G41" s="64">
        <v>1819508</v>
      </c>
      <c r="H41" s="65">
        <v>1237600</v>
      </c>
      <c r="I41" s="66">
        <v>435540</v>
      </c>
      <c r="J41" s="66">
        <v>535500</v>
      </c>
      <c r="K41" s="54"/>
      <c r="L41" s="55"/>
      <c r="M41" s="64">
        <f>595000*1.00338</f>
        <v>597011.1</v>
      </c>
      <c r="N41" s="53">
        <f>547387*1.051</f>
        <v>575303.73699999996</v>
      </c>
      <c r="O41" s="56">
        <f>586922*1.0515</f>
        <v>617148.48300000001</v>
      </c>
      <c r="P41" s="57">
        <f t="shared" si="7"/>
        <v>7</v>
      </c>
      <c r="Q41" s="58">
        <f t="shared" si="8"/>
        <v>831087</v>
      </c>
      <c r="R41" s="59">
        <f t="shared" si="9"/>
        <v>831087</v>
      </c>
      <c r="S41" s="60">
        <f t="shared" si="10"/>
        <v>470872.18311723374</v>
      </c>
      <c r="T41" s="61">
        <f t="shared" si="11"/>
        <v>56.657387628158517</v>
      </c>
      <c r="U41" s="62">
        <f t="shared" si="12"/>
        <v>43.342612371841483</v>
      </c>
      <c r="V41" s="63" t="str">
        <f t="shared" si="13"/>
        <v>BAJO</v>
      </c>
    </row>
    <row r="42" spans="2:22">
      <c r="B42" s="73">
        <v>33</v>
      </c>
      <c r="C42" s="74" t="s">
        <v>134</v>
      </c>
      <c r="D42" s="75" t="s">
        <v>137</v>
      </c>
      <c r="E42" s="78" t="s">
        <v>162</v>
      </c>
      <c r="F42" s="78">
        <v>1</v>
      </c>
      <c r="G42" s="64">
        <v>2142000</v>
      </c>
      <c r="H42" s="65">
        <v>1785000</v>
      </c>
      <c r="I42" s="66">
        <v>725900</v>
      </c>
      <c r="J42" s="66">
        <v>1428000</v>
      </c>
      <c r="K42" s="54"/>
      <c r="L42" s="55"/>
      <c r="M42" s="64">
        <f>1309000*1.00338</f>
        <v>1313424.42</v>
      </c>
      <c r="N42" s="53">
        <f>1020779*1.051</f>
        <v>1072838.7289999998</v>
      </c>
      <c r="O42" s="56">
        <f>1048942*1.0515</f>
        <v>1102962.513</v>
      </c>
      <c r="P42" s="57">
        <f t="shared" si="7"/>
        <v>7</v>
      </c>
      <c r="Q42" s="58">
        <f t="shared" si="8"/>
        <v>1367161</v>
      </c>
      <c r="R42" s="59">
        <f t="shared" si="9"/>
        <v>1367161</v>
      </c>
      <c r="S42" s="60">
        <f t="shared" si="10"/>
        <v>439024.24593857233</v>
      </c>
      <c r="T42" s="61">
        <f t="shared" si="11"/>
        <v>32.112110127378727</v>
      </c>
      <c r="U42" s="62">
        <f t="shared" si="12"/>
        <v>67.887889872621273</v>
      </c>
      <c r="V42" s="63" t="str">
        <f t="shared" si="13"/>
        <v>BAJO</v>
      </c>
    </row>
    <row r="43" spans="2:22">
      <c r="B43" s="73">
        <v>34</v>
      </c>
      <c r="C43" s="74" t="s">
        <v>134</v>
      </c>
      <c r="D43" s="75" t="s">
        <v>138</v>
      </c>
      <c r="E43" s="78" t="s">
        <v>162</v>
      </c>
      <c r="F43" s="78">
        <v>1</v>
      </c>
      <c r="G43" s="64">
        <v>3332000</v>
      </c>
      <c r="H43" s="65">
        <v>3094000</v>
      </c>
      <c r="I43" s="66">
        <v>2177700</v>
      </c>
      <c r="J43" s="66">
        <v>1570800</v>
      </c>
      <c r="K43" s="54"/>
      <c r="L43" s="55"/>
      <c r="M43" s="64">
        <f>1428000*1.00338</f>
        <v>1432826.64</v>
      </c>
      <c r="N43" s="53">
        <f>1539794*1.051</f>
        <v>1618323.4939999999</v>
      </c>
      <c r="O43" s="56">
        <f>1566170*1.0515</f>
        <v>1646827.7550000001</v>
      </c>
      <c r="P43" s="57">
        <f t="shared" si="7"/>
        <v>7</v>
      </c>
      <c r="Q43" s="58">
        <f t="shared" si="8"/>
        <v>2124640</v>
      </c>
      <c r="R43" s="59">
        <f t="shared" si="9"/>
        <v>2124640</v>
      </c>
      <c r="S43" s="60">
        <f t="shared" si="10"/>
        <v>724095.27384117059</v>
      </c>
      <c r="T43" s="61">
        <f t="shared" si="11"/>
        <v>34.08084540633569</v>
      </c>
      <c r="U43" s="62">
        <f t="shared" si="12"/>
        <v>65.919154593664302</v>
      </c>
      <c r="V43" s="63" t="str">
        <f t="shared" si="13"/>
        <v>BAJO</v>
      </c>
    </row>
    <row r="44" spans="2:22">
      <c r="B44" s="76">
        <v>35</v>
      </c>
      <c r="C44" s="74" t="s">
        <v>139</v>
      </c>
      <c r="D44" s="75" t="s">
        <v>140</v>
      </c>
      <c r="E44" s="78" t="s">
        <v>163</v>
      </c>
      <c r="F44" s="78">
        <v>1</v>
      </c>
      <c r="G44" s="64">
        <v>1428000</v>
      </c>
      <c r="H44" s="65">
        <v>642600</v>
      </c>
      <c r="I44" s="66">
        <v>508130</v>
      </c>
      <c r="J44" s="66">
        <v>452200</v>
      </c>
      <c r="K44" s="54"/>
      <c r="L44" s="55"/>
      <c r="M44" s="64">
        <f>452200*1.00338</f>
        <v>453728.43599999999</v>
      </c>
      <c r="N44" s="53">
        <f>571620*1.051</f>
        <v>600772.62</v>
      </c>
      <c r="O44" s="56">
        <f>622031*1.0515</f>
        <v>654065.5965000001</v>
      </c>
      <c r="P44" s="57">
        <f t="shared" si="7"/>
        <v>7</v>
      </c>
      <c r="Q44" s="58">
        <f t="shared" si="8"/>
        <v>677071</v>
      </c>
      <c r="R44" s="59">
        <f t="shared" si="9"/>
        <v>677071</v>
      </c>
      <c r="S44" s="60">
        <f t="shared" si="10"/>
        <v>316323.35022407951</v>
      </c>
      <c r="T44" s="61">
        <f t="shared" si="11"/>
        <v>46.719376582969808</v>
      </c>
      <c r="U44" s="62">
        <f t="shared" si="12"/>
        <v>53.280623417030192</v>
      </c>
      <c r="V44" s="63" t="str">
        <f t="shared" si="13"/>
        <v>BAJO</v>
      </c>
    </row>
    <row r="45" spans="2:22" ht="28">
      <c r="B45" s="73">
        <v>36</v>
      </c>
      <c r="C45" s="74" t="s">
        <v>141</v>
      </c>
      <c r="D45" s="75" t="s">
        <v>142</v>
      </c>
      <c r="E45" s="78" t="s">
        <v>163</v>
      </c>
      <c r="F45" s="78">
        <v>1</v>
      </c>
      <c r="G45" s="64">
        <v>383180</v>
      </c>
      <c r="H45" s="65">
        <v>547400</v>
      </c>
      <c r="I45" s="66">
        <v>508130</v>
      </c>
      <c r="J45" s="66">
        <v>190400</v>
      </c>
      <c r="K45" s="54"/>
      <c r="L45" s="55"/>
      <c r="M45" s="64">
        <f>178500*1.00338</f>
        <v>179103.33</v>
      </c>
      <c r="N45" s="53">
        <f>210269*1.051</f>
        <v>220992.71899999998</v>
      </c>
      <c r="O45" s="56">
        <f>273558*1.0515</f>
        <v>287646.23700000002</v>
      </c>
      <c r="P45" s="57">
        <f t="shared" si="7"/>
        <v>7</v>
      </c>
      <c r="Q45" s="58">
        <f t="shared" si="8"/>
        <v>330979</v>
      </c>
      <c r="R45" s="59">
        <f t="shared" si="9"/>
        <v>330979</v>
      </c>
      <c r="S45" s="60">
        <f t="shared" si="10"/>
        <v>140279.74865516851</v>
      </c>
      <c r="T45" s="61">
        <f t="shared" si="11"/>
        <v>42.383277686852793</v>
      </c>
      <c r="U45" s="62">
        <f t="shared" si="12"/>
        <v>57.616722313147207</v>
      </c>
      <c r="V45" s="63" t="str">
        <f t="shared" si="13"/>
        <v>BAJO</v>
      </c>
    </row>
    <row r="46" spans="2:22">
      <c r="B46" s="73">
        <v>37</v>
      </c>
      <c r="C46" s="74" t="s">
        <v>143</v>
      </c>
      <c r="D46" s="75" t="s">
        <v>144</v>
      </c>
      <c r="E46" s="78" t="s">
        <v>163</v>
      </c>
      <c r="F46" s="78">
        <v>1</v>
      </c>
      <c r="G46" s="64">
        <v>382320</v>
      </c>
      <c r="H46" s="65">
        <v>95200</v>
      </c>
      <c r="I46" s="66">
        <v>508130</v>
      </c>
      <c r="J46" s="66">
        <v>190400</v>
      </c>
      <c r="K46" s="54"/>
      <c r="L46" s="55"/>
      <c r="M46" s="64">
        <f>178500*1.00338</f>
        <v>179103.33</v>
      </c>
      <c r="N46" s="53">
        <f>231415*1.051</f>
        <v>243217.16499999998</v>
      </c>
      <c r="O46" s="56">
        <f>342730*1.0515</f>
        <v>360380.59500000003</v>
      </c>
      <c r="P46" s="57">
        <f t="shared" si="7"/>
        <v>7</v>
      </c>
      <c r="Q46" s="58">
        <f t="shared" si="8"/>
        <v>279822</v>
      </c>
      <c r="R46" s="59">
        <f t="shared" si="9"/>
        <v>279822</v>
      </c>
      <c r="S46" s="60">
        <f t="shared" si="10"/>
        <v>132387.8563135663</v>
      </c>
      <c r="T46" s="61">
        <f t="shared" si="11"/>
        <v>47.31145382191761</v>
      </c>
      <c r="U46" s="62">
        <f t="shared" si="12"/>
        <v>52.68854617808239</v>
      </c>
      <c r="V46" s="63" t="str">
        <f t="shared" si="13"/>
        <v>BAJO</v>
      </c>
    </row>
    <row r="47" spans="2:22">
      <c r="B47" s="73">
        <v>38</v>
      </c>
      <c r="C47" s="74" t="s">
        <v>145</v>
      </c>
      <c r="D47" s="75" t="s">
        <v>146</v>
      </c>
      <c r="E47" s="78" t="s">
        <v>163</v>
      </c>
      <c r="F47" s="78">
        <v>1</v>
      </c>
      <c r="G47" s="64">
        <v>380800</v>
      </c>
      <c r="H47" s="65">
        <v>142800</v>
      </c>
      <c r="I47" s="66">
        <v>508130</v>
      </c>
      <c r="J47" s="66">
        <v>107100</v>
      </c>
      <c r="K47" s="54"/>
      <c r="L47" s="55"/>
      <c r="M47" s="64">
        <f>238000*1.00338</f>
        <v>238804.43999999997</v>
      </c>
      <c r="N47" s="53">
        <f>167915*1.051</f>
        <v>176478.66499999998</v>
      </c>
      <c r="O47" s="56">
        <f>305925*1.0515</f>
        <v>321680.13750000001</v>
      </c>
      <c r="P47" s="57">
        <f t="shared" si="7"/>
        <v>7</v>
      </c>
      <c r="Q47" s="58">
        <f t="shared" si="8"/>
        <v>267970</v>
      </c>
      <c r="R47" s="59">
        <f t="shared" si="9"/>
        <v>267970</v>
      </c>
      <c r="S47" s="60">
        <f t="shared" si="10"/>
        <v>133127.32543319077</v>
      </c>
      <c r="T47" s="61">
        <f t="shared" si="11"/>
        <v>49.679936348543038</v>
      </c>
      <c r="U47" s="62">
        <f t="shared" si="12"/>
        <v>50.320063651456962</v>
      </c>
      <c r="V47" s="63" t="str">
        <f t="shared" si="13"/>
        <v>BAJO</v>
      </c>
    </row>
    <row r="48" spans="2:22" ht="28">
      <c r="B48" s="76">
        <v>39</v>
      </c>
      <c r="C48" s="74" t="s">
        <v>147</v>
      </c>
      <c r="D48" s="75" t="s">
        <v>148</v>
      </c>
      <c r="E48" s="78" t="s">
        <v>162</v>
      </c>
      <c r="F48" s="78">
        <v>1</v>
      </c>
      <c r="G48" s="64">
        <v>3831800</v>
      </c>
      <c r="H48" s="65">
        <v>5950000</v>
      </c>
      <c r="I48" s="66">
        <v>5081300</v>
      </c>
      <c r="J48" s="66">
        <v>1618400</v>
      </c>
      <c r="K48" s="54"/>
      <c r="L48" s="55"/>
      <c r="M48" s="64">
        <f>1428000*1.00338</f>
        <v>1432826.64</v>
      </c>
      <c r="N48" s="53">
        <f>1690467*1.051</f>
        <v>1776680.8169999998</v>
      </c>
      <c r="O48" s="56">
        <f>1827198*1.0515</f>
        <v>1921298.6970000002</v>
      </c>
      <c r="P48" s="57">
        <f t="shared" si="7"/>
        <v>7</v>
      </c>
      <c r="Q48" s="58">
        <f t="shared" si="8"/>
        <v>3087472</v>
      </c>
      <c r="R48" s="59">
        <f t="shared" si="9"/>
        <v>3087472</v>
      </c>
      <c r="S48" s="60">
        <f t="shared" si="10"/>
        <v>1719534.7511366191</v>
      </c>
      <c r="T48" s="61">
        <f t="shared" si="11"/>
        <v>55.693938313825008</v>
      </c>
      <c r="U48" s="62">
        <f t="shared" si="12"/>
        <v>44.306061686174992</v>
      </c>
      <c r="V48" s="63" t="str">
        <f t="shared" si="13"/>
        <v>BAJO</v>
      </c>
    </row>
    <row r="49" spans="1:23" ht="28">
      <c r="B49" s="73">
        <v>40</v>
      </c>
      <c r="C49" s="74" t="s">
        <v>147</v>
      </c>
      <c r="D49" s="75" t="s">
        <v>149</v>
      </c>
      <c r="E49" s="78" t="s">
        <v>162</v>
      </c>
      <c r="F49" s="78">
        <v>1</v>
      </c>
      <c r="G49" s="64">
        <v>1738800</v>
      </c>
      <c r="H49" s="65">
        <v>2975000</v>
      </c>
      <c r="I49" s="66">
        <v>2613240</v>
      </c>
      <c r="J49" s="66">
        <v>809200</v>
      </c>
      <c r="K49" s="54"/>
      <c r="L49" s="55"/>
      <c r="M49" s="64">
        <f>833000*1.00338</f>
        <v>835815.53999999992</v>
      </c>
      <c r="N49" s="53">
        <f>883083*1.051</f>
        <v>928120.23299999989</v>
      </c>
      <c r="O49" s="56">
        <f>1061994*1.0515</f>
        <v>1116686.6910000001</v>
      </c>
      <c r="P49" s="57">
        <f t="shared" si="7"/>
        <v>7</v>
      </c>
      <c r="Q49" s="58">
        <f t="shared" si="8"/>
        <v>1573837</v>
      </c>
      <c r="R49" s="59">
        <f t="shared" si="9"/>
        <v>1573837</v>
      </c>
      <c r="S49" s="60">
        <f t="shared" si="10"/>
        <v>830327.91334323806</v>
      </c>
      <c r="T49" s="61">
        <f t="shared" si="11"/>
        <v>52.75818991059672</v>
      </c>
      <c r="U49" s="62">
        <f t="shared" si="12"/>
        <v>47.24181008940328</v>
      </c>
      <c r="V49" s="63" t="str">
        <f t="shared" si="13"/>
        <v>BAJO</v>
      </c>
    </row>
    <row r="50" spans="1:23" ht="140">
      <c r="B50" s="73">
        <v>41</v>
      </c>
      <c r="C50" s="74" t="s">
        <v>150</v>
      </c>
      <c r="D50" s="75" t="s">
        <v>151</v>
      </c>
      <c r="E50" s="78" t="s">
        <v>162</v>
      </c>
      <c r="F50" s="78">
        <v>1</v>
      </c>
      <c r="G50" s="64">
        <v>55512</v>
      </c>
      <c r="H50" s="65">
        <v>285600</v>
      </c>
      <c r="I50" s="66">
        <v>43554</v>
      </c>
      <c r="J50" s="66">
        <v>15984</v>
      </c>
      <c r="K50" s="54"/>
      <c r="L50" s="55"/>
      <c r="M50" s="64">
        <f>15470*1.00338</f>
        <v>15522.2886</v>
      </c>
      <c r="N50" s="53">
        <f>15388*1.051</f>
        <v>16172.787999999999</v>
      </c>
      <c r="O50" s="56">
        <f>20752*1.0515</f>
        <v>21820.728000000003</v>
      </c>
      <c r="P50" s="57">
        <f t="shared" si="7"/>
        <v>7</v>
      </c>
      <c r="Q50" s="58">
        <f t="shared" si="8"/>
        <v>64881</v>
      </c>
      <c r="R50" s="59">
        <f t="shared" si="9"/>
        <v>64881</v>
      </c>
      <c r="S50" s="60">
        <f t="shared" si="10"/>
        <v>91271.472613935985</v>
      </c>
      <c r="T50" s="61">
        <f t="shared" si="11"/>
        <v>140.67519399197914</v>
      </c>
      <c r="U50" s="62">
        <f t="shared" si="12"/>
        <v>-40.675193991979143</v>
      </c>
      <c r="V50" s="63" t="str">
        <f t="shared" si="13"/>
        <v>BAJO</v>
      </c>
    </row>
    <row r="51" spans="1:23" ht="140">
      <c r="B51" s="73">
        <v>42</v>
      </c>
      <c r="C51" s="74" t="s">
        <v>152</v>
      </c>
      <c r="D51" s="75" t="s">
        <v>153</v>
      </c>
      <c r="E51" s="78" t="s">
        <v>162</v>
      </c>
      <c r="F51" s="78">
        <v>1</v>
      </c>
      <c r="G51" s="64">
        <v>59400</v>
      </c>
      <c r="H51" s="65">
        <v>40460</v>
      </c>
      <c r="I51" s="66">
        <v>46457.599999999999</v>
      </c>
      <c r="J51" s="66">
        <v>15984</v>
      </c>
      <c r="K51" s="54"/>
      <c r="L51" s="55"/>
      <c r="M51" s="64">
        <f>15470*1.00338</f>
        <v>15522.2886</v>
      </c>
      <c r="N51" s="53">
        <f>15196*1.051</f>
        <v>15970.995999999999</v>
      </c>
      <c r="O51" s="56">
        <f>18141*1.0515</f>
        <v>19075.261500000001</v>
      </c>
      <c r="P51" s="57">
        <f t="shared" si="7"/>
        <v>7</v>
      </c>
      <c r="Q51" s="58">
        <f t="shared" si="8"/>
        <v>30410</v>
      </c>
      <c r="R51" s="59">
        <f t="shared" si="9"/>
        <v>30410</v>
      </c>
      <c r="S51" s="60">
        <f t="shared" si="10"/>
        <v>16757.354998678042</v>
      </c>
      <c r="T51" s="61">
        <f t="shared" si="11"/>
        <v>55.104751722058673</v>
      </c>
      <c r="U51" s="62">
        <f t="shared" si="12"/>
        <v>44.895248277941327</v>
      </c>
      <c r="V51" s="63" t="str">
        <f t="shared" si="13"/>
        <v>BAJO</v>
      </c>
    </row>
    <row r="52" spans="1:23" ht="182">
      <c r="B52" s="76">
        <v>43</v>
      </c>
      <c r="C52" s="74" t="s">
        <v>154</v>
      </c>
      <c r="D52" s="75" t="s">
        <v>155</v>
      </c>
      <c r="E52" s="78" t="s">
        <v>162</v>
      </c>
      <c r="F52" s="78">
        <v>1</v>
      </c>
      <c r="G52" s="64">
        <v>1059963</v>
      </c>
      <c r="H52" s="65">
        <v>535500</v>
      </c>
      <c r="I52" s="66">
        <v>1742160</v>
      </c>
      <c r="J52" s="66">
        <v>275400</v>
      </c>
      <c r="K52" s="54"/>
      <c r="L52" s="55"/>
      <c r="M52" s="64">
        <f>261800*1.00338</f>
        <v>262684.88399999996</v>
      </c>
      <c r="N52" s="53">
        <f>290081*1.051</f>
        <v>304875.13099999999</v>
      </c>
      <c r="O52" s="56">
        <f>378100*1.0515</f>
        <v>397572.15</v>
      </c>
      <c r="P52" s="57">
        <f t="shared" si="7"/>
        <v>7</v>
      </c>
      <c r="Q52" s="58">
        <f t="shared" si="8"/>
        <v>654022</v>
      </c>
      <c r="R52" s="59">
        <f t="shared" si="9"/>
        <v>654022</v>
      </c>
      <c r="S52" s="60">
        <f t="shared" si="10"/>
        <v>513677.12009303633</v>
      </c>
      <c r="T52" s="61">
        <f t="shared" si="11"/>
        <v>78.541260094161416</v>
      </c>
      <c r="U52" s="62">
        <f t="shared" si="12"/>
        <v>21.458739905838584</v>
      </c>
      <c r="V52" s="63" t="str">
        <f t="shared" si="13"/>
        <v>BAJO</v>
      </c>
    </row>
    <row r="53" spans="1:23" ht="154">
      <c r="B53" s="73">
        <v>44</v>
      </c>
      <c r="C53" s="74" t="s">
        <v>154</v>
      </c>
      <c r="D53" s="75" t="s">
        <v>156</v>
      </c>
      <c r="E53" s="78" t="s">
        <v>162</v>
      </c>
      <c r="F53" s="78">
        <v>1</v>
      </c>
      <c r="G53" s="64">
        <v>1766556</v>
      </c>
      <c r="H53" s="65">
        <v>904400</v>
      </c>
      <c r="I53" s="66">
        <v>2177700</v>
      </c>
      <c r="J53" s="66">
        <v>918000</v>
      </c>
      <c r="K53" s="54"/>
      <c r="L53" s="55"/>
      <c r="M53" s="64">
        <f>833000*1.00338</f>
        <v>835815.53999999992</v>
      </c>
      <c r="N53" s="53">
        <f>749379*1.051</f>
        <v>787597.32899999991</v>
      </c>
      <c r="O53" s="56">
        <f>961889*1.0515</f>
        <v>1011426.2835000001</v>
      </c>
      <c r="P53" s="57">
        <f t="shared" si="7"/>
        <v>7</v>
      </c>
      <c r="Q53" s="58">
        <f t="shared" si="8"/>
        <v>1200214</v>
      </c>
      <c r="R53" s="59">
        <f t="shared" si="9"/>
        <v>1200214</v>
      </c>
      <c r="S53" s="60">
        <f t="shared" si="10"/>
        <v>504558.13232819585</v>
      </c>
      <c r="T53" s="61">
        <f t="shared" si="11"/>
        <v>42.039014069840533</v>
      </c>
      <c r="U53" s="62">
        <f t="shared" si="12"/>
        <v>57.960985930159467</v>
      </c>
      <c r="V53" s="63" t="str">
        <f t="shared" si="13"/>
        <v>BAJO</v>
      </c>
    </row>
    <row r="54" spans="1:23" ht="154">
      <c r="B54" s="73">
        <v>45</v>
      </c>
      <c r="C54" s="74" t="s">
        <v>154</v>
      </c>
      <c r="D54" s="75" t="s">
        <v>157</v>
      </c>
      <c r="E54" s="78" t="s">
        <v>162</v>
      </c>
      <c r="F54" s="78">
        <v>1</v>
      </c>
      <c r="G54" s="64">
        <v>3533112</v>
      </c>
      <c r="H54" s="65">
        <v>1785000</v>
      </c>
      <c r="I54" s="66">
        <v>2903600</v>
      </c>
      <c r="J54" s="66">
        <v>1209600</v>
      </c>
      <c r="K54" s="54"/>
      <c r="L54" s="55"/>
      <c r="M54" s="64">
        <f>1071000*1.00338</f>
        <v>1074619.98</v>
      </c>
      <c r="N54" s="53">
        <f>964050*1.051</f>
        <v>1013216.5499999999</v>
      </c>
      <c r="O54" s="56">
        <f>1044113*1.0515</f>
        <v>1097884.8195000002</v>
      </c>
      <c r="P54" s="57">
        <f t="shared" si="7"/>
        <v>7</v>
      </c>
      <c r="Q54" s="58">
        <f t="shared" si="8"/>
        <v>1802433</v>
      </c>
      <c r="R54" s="59">
        <f t="shared" si="9"/>
        <v>1802433</v>
      </c>
      <c r="S54" s="60">
        <f t="shared" si="10"/>
        <v>941771.580888547</v>
      </c>
      <c r="T54" s="61">
        <f t="shared" si="11"/>
        <v>52.250018773987549</v>
      </c>
      <c r="U54" s="62">
        <f t="shared" si="12"/>
        <v>47.749981226012451</v>
      </c>
      <c r="V54" s="63" t="str">
        <f t="shared" si="13"/>
        <v>BAJO</v>
      </c>
    </row>
    <row r="55" spans="1:23" ht="126">
      <c r="B55" s="73">
        <v>46</v>
      </c>
      <c r="C55" s="74" t="s">
        <v>158</v>
      </c>
      <c r="D55" s="75" t="s">
        <v>159</v>
      </c>
      <c r="E55" s="78" t="s">
        <v>162</v>
      </c>
      <c r="F55" s="78">
        <v>1</v>
      </c>
      <c r="G55" s="64">
        <v>63045</v>
      </c>
      <c r="H55" s="65">
        <v>71400</v>
      </c>
      <c r="I55" s="66">
        <v>65331</v>
      </c>
      <c r="J55" s="66">
        <v>29160</v>
      </c>
      <c r="K55" s="54"/>
      <c r="L55" s="55"/>
      <c r="M55" s="64">
        <f>26180*1.00338</f>
        <v>26268.488399999998</v>
      </c>
      <c r="N55" s="56">
        <f>28057*1.051</f>
        <v>29487.906999999999</v>
      </c>
      <c r="O55" s="56">
        <f>33673*1.0515</f>
        <v>35407.159500000002</v>
      </c>
      <c r="P55" s="57">
        <f t="shared" si="7"/>
        <v>7</v>
      </c>
      <c r="Q55" s="58">
        <f t="shared" si="8"/>
        <v>45729</v>
      </c>
      <c r="R55" s="59">
        <f t="shared" si="9"/>
        <v>45729</v>
      </c>
      <c r="S55" s="60">
        <f t="shared" si="10"/>
        <v>18387.259817525417</v>
      </c>
      <c r="T55" s="61">
        <f t="shared" si="11"/>
        <v>40.209188518282531</v>
      </c>
      <c r="U55" s="62">
        <f t="shared" si="12"/>
        <v>59.790811481717469</v>
      </c>
      <c r="V55" s="63" t="str">
        <f t="shared" si="13"/>
        <v>BAJO</v>
      </c>
    </row>
    <row r="56" spans="1:23" ht="112">
      <c r="B56" s="76">
        <v>47</v>
      </c>
      <c r="C56" s="74" t="s">
        <v>160</v>
      </c>
      <c r="D56" s="75" t="s">
        <v>161</v>
      </c>
      <c r="E56" s="78" t="s">
        <v>162</v>
      </c>
      <c r="F56" s="78">
        <v>1</v>
      </c>
      <c r="G56" s="64">
        <v>91392</v>
      </c>
      <c r="H56" s="65">
        <v>99960</v>
      </c>
      <c r="I56" s="66">
        <v>94367</v>
      </c>
      <c r="J56" s="66">
        <v>53460</v>
      </c>
      <c r="K56" s="54"/>
      <c r="L56" s="55"/>
      <c r="M56" s="64">
        <f>47600*1.00338</f>
        <v>47760.887999999999</v>
      </c>
      <c r="N56" s="56">
        <f>52554*1.051</f>
        <v>55234.253999999994</v>
      </c>
      <c r="O56" s="56">
        <f>52075*1.0515</f>
        <v>54756.862500000003</v>
      </c>
      <c r="P56" s="57">
        <f t="shared" si="7"/>
        <v>7</v>
      </c>
      <c r="Q56" s="58">
        <f t="shared" si="8"/>
        <v>70990</v>
      </c>
      <c r="R56" s="59">
        <f t="shared" si="9"/>
        <v>70990</v>
      </c>
      <c r="S56" s="60">
        <f t="shared" si="10"/>
        <v>21248.991445897645</v>
      </c>
      <c r="T56" s="61">
        <f t="shared" si="11"/>
        <v>29.932372793206994</v>
      </c>
      <c r="U56" s="62">
        <f t="shared" si="12"/>
        <v>70.067627206793006</v>
      </c>
      <c r="V56" s="63" t="str">
        <f t="shared" si="13"/>
        <v>ALTO</v>
      </c>
    </row>
    <row r="57" spans="1:23" ht="57" customHeight="1" thickBot="1">
      <c r="B57" s="189"/>
      <c r="C57" s="190"/>
      <c r="D57" s="190"/>
      <c r="E57" s="190"/>
      <c r="F57" s="190"/>
      <c r="G57" s="190"/>
      <c r="H57" s="190"/>
      <c r="I57" s="190"/>
      <c r="J57" s="190"/>
      <c r="K57" s="190"/>
      <c r="L57" s="190"/>
      <c r="M57" s="190"/>
      <c r="N57" s="190"/>
      <c r="O57" s="191"/>
      <c r="P57" s="162" t="s">
        <v>73</v>
      </c>
      <c r="Q57" s="163"/>
      <c r="R57" s="68">
        <f>SUM(R10:R56)</f>
        <v>85191178</v>
      </c>
      <c r="S57" s="192"/>
      <c r="T57" s="193"/>
      <c r="U57" s="193"/>
      <c r="V57" s="194"/>
    </row>
    <row r="58" spans="1:23" ht="51.75" customHeight="1">
      <c r="C58" s="196" t="s">
        <v>82</v>
      </c>
      <c r="D58" s="196"/>
      <c r="E58" s="196"/>
      <c r="F58" s="196"/>
      <c r="G58" s="196"/>
      <c r="H58" s="196"/>
      <c r="I58" s="196"/>
      <c r="J58" s="196"/>
      <c r="K58" s="196"/>
      <c r="L58" s="196"/>
      <c r="M58" s="196"/>
      <c r="N58" s="196"/>
      <c r="O58" s="196"/>
      <c r="P58" s="196"/>
      <c r="Q58" s="196"/>
      <c r="R58" s="196"/>
      <c r="S58" s="196"/>
      <c r="T58" s="196"/>
      <c r="U58" s="196"/>
      <c r="V58" s="196"/>
    </row>
    <row r="59" spans="1:23" ht="19.5" customHeight="1">
      <c r="C59" s="197" t="s">
        <v>175</v>
      </c>
      <c r="D59" s="197"/>
      <c r="E59" s="197"/>
      <c r="F59" s="197"/>
      <c r="G59" s="197"/>
      <c r="H59" s="197"/>
      <c r="I59" s="197"/>
      <c r="J59" s="197"/>
      <c r="K59" s="69"/>
      <c r="L59" s="69"/>
      <c r="M59" s="82"/>
      <c r="N59" s="69"/>
      <c r="O59" s="69"/>
      <c r="P59" s="69"/>
      <c r="Q59" s="69"/>
      <c r="R59" s="69"/>
      <c r="S59" s="69"/>
      <c r="T59" s="69"/>
      <c r="U59" s="69"/>
      <c r="V59" s="69"/>
    </row>
    <row r="60" spans="1:23" s="42" customFormat="1">
      <c r="B60" s="40"/>
      <c r="C60" s="70" t="s">
        <v>176</v>
      </c>
      <c r="D60" s="71"/>
      <c r="E60" s="40"/>
      <c r="F60" s="40"/>
      <c r="G60" s="72"/>
      <c r="H60" s="72"/>
      <c r="I60" s="72"/>
      <c r="J60" s="72"/>
      <c r="K60" s="72"/>
      <c r="L60" s="72"/>
      <c r="M60" s="79"/>
      <c r="N60" s="40"/>
      <c r="O60" s="40"/>
      <c r="P60" s="40"/>
      <c r="Q60" s="40"/>
      <c r="R60" s="40"/>
      <c r="S60" s="40"/>
      <c r="T60" s="40"/>
      <c r="U60" s="40"/>
      <c r="V60" s="40"/>
    </row>
    <row r="61" spans="1:23" s="42" customFormat="1">
      <c r="B61" s="40"/>
      <c r="C61" s="71"/>
      <c r="D61" s="71"/>
      <c r="E61" s="40"/>
      <c r="F61" s="40"/>
      <c r="G61" s="72"/>
      <c r="H61" s="72"/>
      <c r="I61" s="72"/>
      <c r="J61" s="72"/>
      <c r="K61" s="72"/>
      <c r="L61" s="72"/>
      <c r="M61" s="79"/>
      <c r="N61" s="40"/>
      <c r="O61" s="40"/>
      <c r="P61" s="40"/>
      <c r="Q61" s="40"/>
      <c r="R61" s="40"/>
      <c r="S61" s="40"/>
      <c r="T61" s="40"/>
      <c r="U61" s="40"/>
      <c r="V61" s="40"/>
    </row>
    <row r="62" spans="1:23" s="42" customFormat="1" ht="45" customHeight="1">
      <c r="A62" s="195"/>
      <c r="B62" s="195"/>
      <c r="C62" s="195"/>
      <c r="D62" s="195"/>
      <c r="E62" s="195"/>
      <c r="F62" s="195"/>
      <c r="G62" s="195"/>
      <c r="H62" s="195"/>
      <c r="I62" s="195"/>
      <c r="J62" s="195"/>
      <c r="K62" s="195"/>
      <c r="L62" s="195"/>
      <c r="M62" s="195"/>
      <c r="N62" s="195"/>
      <c r="O62" s="195"/>
      <c r="P62" s="195"/>
      <c r="Q62" s="195"/>
      <c r="R62" s="195"/>
      <c r="S62" s="195"/>
      <c r="T62" s="195"/>
      <c r="U62" s="195"/>
      <c r="V62" s="195"/>
      <c r="W62" s="195"/>
    </row>
    <row r="63" spans="1:23" s="42" customFormat="1">
      <c r="B63" s="40"/>
      <c r="C63" s="71"/>
      <c r="D63" s="71"/>
      <c r="E63" s="40"/>
      <c r="F63" s="40"/>
      <c r="G63" s="72"/>
      <c r="H63" s="72"/>
      <c r="I63" s="72"/>
      <c r="J63" s="72"/>
      <c r="K63" s="72"/>
      <c r="L63" s="72"/>
      <c r="M63" s="79"/>
      <c r="N63" s="40"/>
      <c r="O63" s="40"/>
      <c r="P63" s="40"/>
      <c r="Q63" s="40"/>
      <c r="R63" s="40"/>
      <c r="S63" s="40"/>
      <c r="T63" s="40"/>
      <c r="U63" s="40"/>
      <c r="V63" s="40"/>
    </row>
  </sheetData>
  <mergeCells count="18">
    <mergeCell ref="A62:W62"/>
    <mergeCell ref="C58:V58"/>
    <mergeCell ref="C59:J59"/>
    <mergeCell ref="B2:D4"/>
    <mergeCell ref="E2:V2"/>
    <mergeCell ref="E3:O3"/>
    <mergeCell ref="E4:V4"/>
    <mergeCell ref="P3:V3"/>
    <mergeCell ref="B6:F8"/>
    <mergeCell ref="P6:V8"/>
    <mergeCell ref="P57:Q57"/>
    <mergeCell ref="G6:L7"/>
    <mergeCell ref="M6:O6"/>
    <mergeCell ref="G9:L9"/>
    <mergeCell ref="M9:O9"/>
    <mergeCell ref="C9:D9"/>
    <mergeCell ref="B57:O57"/>
    <mergeCell ref="S57:V57"/>
  </mergeCells>
  <conditionalFormatting sqref="V10:V56">
    <cfRule type="cellIs" dxfId="1"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09387-1BD6-4B42-9A95-AB7909E5AD19}">
  <sheetPr>
    <tabColor theme="9" tint="-0.249977111117893"/>
  </sheetPr>
  <dimension ref="A2:X63"/>
  <sheetViews>
    <sheetView topLeftCell="D19" zoomScale="60" zoomScaleNormal="60" zoomScaleSheetLayoutView="40" zoomScalePageLayoutView="55" workbookViewId="0">
      <selection activeCell="X10" sqref="X10"/>
    </sheetView>
  </sheetViews>
  <sheetFormatPr baseColWidth="10" defaultColWidth="11.453125" defaultRowHeight="20"/>
  <cols>
    <col min="1" max="1" width="4.36328125" style="40" customWidth="1"/>
    <col min="2" max="2" width="4.6328125" style="40" bestFit="1" customWidth="1"/>
    <col min="3" max="3" width="30.6328125" style="40" customWidth="1"/>
    <col min="4" max="4" width="70.54296875" style="40" customWidth="1"/>
    <col min="5" max="5" width="8.1796875" style="40" bestFit="1" customWidth="1"/>
    <col min="6" max="6" width="5.54296875" style="40" bestFit="1" customWidth="1"/>
    <col min="7" max="7" width="18.54296875" style="40" customWidth="1"/>
    <col min="8" max="8" width="16.81640625" style="40" customWidth="1"/>
    <col min="9" max="9" width="16.6328125" style="40" customWidth="1"/>
    <col min="10" max="10" width="22.36328125" style="40" customWidth="1"/>
    <col min="11" max="12" width="13.54296875" style="40" hidden="1" customWidth="1"/>
    <col min="13" max="13" width="21" style="79" customWidth="1"/>
    <col min="14" max="15" width="17" style="40" customWidth="1"/>
    <col min="16" max="16" width="14.08984375" style="40" bestFit="1" customWidth="1"/>
    <col min="17" max="17" width="19.54296875" style="40" customWidth="1"/>
    <col min="18" max="18" width="21.453125" style="40" customWidth="1"/>
    <col min="19" max="19" width="21.36328125" style="40" customWidth="1"/>
    <col min="20" max="20" width="18" style="83" customWidth="1"/>
    <col min="21" max="21" width="20.08984375" style="83" customWidth="1"/>
    <col min="22" max="22" width="24.81640625" style="40" customWidth="1"/>
    <col min="23" max="23" width="2.453125" style="42" customWidth="1"/>
    <col min="24" max="16384" width="11.453125" style="40"/>
  </cols>
  <sheetData>
    <row r="2" spans="2:24" ht="39.75" customHeight="1">
      <c r="B2" s="174"/>
      <c r="C2" s="175"/>
      <c r="D2" s="176"/>
      <c r="E2" s="183" t="s">
        <v>77</v>
      </c>
      <c r="F2" s="184"/>
      <c r="G2" s="184"/>
      <c r="H2" s="184"/>
      <c r="I2" s="184"/>
      <c r="J2" s="184"/>
      <c r="K2" s="184"/>
      <c r="L2" s="184"/>
      <c r="M2" s="184"/>
      <c r="N2" s="184"/>
      <c r="O2" s="184"/>
      <c r="P2" s="184"/>
      <c r="Q2" s="184"/>
      <c r="R2" s="184"/>
      <c r="S2" s="184"/>
      <c r="T2" s="184"/>
      <c r="U2" s="184"/>
      <c r="V2" s="185"/>
      <c r="W2" s="39"/>
      <c r="X2" s="39"/>
    </row>
    <row r="3" spans="2:24" ht="17.25" customHeight="1">
      <c r="B3" s="177"/>
      <c r="C3" s="178"/>
      <c r="D3" s="179"/>
      <c r="E3" s="186" t="s">
        <v>78</v>
      </c>
      <c r="F3" s="187"/>
      <c r="G3" s="187"/>
      <c r="H3" s="187"/>
      <c r="I3" s="187"/>
      <c r="J3" s="187"/>
      <c r="K3" s="187"/>
      <c r="L3" s="187"/>
      <c r="M3" s="187"/>
      <c r="N3" s="187"/>
      <c r="O3" s="187"/>
      <c r="P3" s="187"/>
      <c r="Q3" s="187"/>
      <c r="R3" s="187"/>
      <c r="S3" s="187"/>
      <c r="T3" s="187"/>
      <c r="U3" s="187"/>
      <c r="V3" s="188"/>
      <c r="W3" s="41"/>
      <c r="X3" s="41"/>
    </row>
    <row r="4" spans="2:24" ht="17.25" customHeight="1">
      <c r="B4" s="180"/>
      <c r="C4" s="181"/>
      <c r="D4" s="182"/>
      <c r="E4" s="186" t="s">
        <v>81</v>
      </c>
      <c r="F4" s="187"/>
      <c r="G4" s="187"/>
      <c r="H4" s="187"/>
      <c r="I4" s="187"/>
      <c r="J4" s="187"/>
      <c r="K4" s="187"/>
      <c r="L4" s="187"/>
      <c r="M4" s="187"/>
      <c r="N4" s="187"/>
      <c r="O4" s="187"/>
      <c r="P4" s="187"/>
      <c r="Q4" s="187"/>
      <c r="R4" s="187"/>
      <c r="S4" s="187"/>
      <c r="T4" s="187"/>
      <c r="U4" s="187"/>
      <c r="V4" s="188"/>
      <c r="W4" s="41"/>
      <c r="X4" s="41"/>
    </row>
    <row r="5" spans="2:24" ht="15.75" customHeight="1" thickBot="1">
      <c r="K5" s="40">
        <f>3.38/100</f>
        <v>3.3799999999999997E-2</v>
      </c>
    </row>
    <row r="6" spans="2:24" ht="20.5" thickBot="1">
      <c r="B6" s="144" t="s">
        <v>75</v>
      </c>
      <c r="C6" s="145"/>
      <c r="D6" s="145"/>
      <c r="E6" s="145"/>
      <c r="F6" s="146"/>
      <c r="G6" s="164" t="s">
        <v>76</v>
      </c>
      <c r="H6" s="165"/>
      <c r="I6" s="165"/>
      <c r="J6" s="165"/>
      <c r="K6" s="165"/>
      <c r="L6" s="165"/>
      <c r="M6" s="198" t="s">
        <v>71</v>
      </c>
      <c r="N6" s="199"/>
      <c r="O6" s="199"/>
      <c r="P6" s="153" t="s">
        <v>83</v>
      </c>
      <c r="Q6" s="154"/>
      <c r="R6" s="154"/>
      <c r="S6" s="154"/>
      <c r="T6" s="154"/>
      <c r="U6" s="154"/>
      <c r="V6" s="155"/>
    </row>
    <row r="7" spans="2:24" ht="59.25" customHeight="1" thickBot="1">
      <c r="B7" s="147"/>
      <c r="C7" s="148"/>
      <c r="D7" s="148"/>
      <c r="E7" s="148"/>
      <c r="F7" s="149"/>
      <c r="G7" s="166"/>
      <c r="H7" s="167"/>
      <c r="I7" s="167"/>
      <c r="J7" s="167"/>
      <c r="K7" s="167"/>
      <c r="L7" s="167"/>
      <c r="M7" s="120" t="s">
        <v>170</v>
      </c>
      <c r="N7" s="121" t="s">
        <v>171</v>
      </c>
      <c r="O7" s="122" t="s">
        <v>173</v>
      </c>
      <c r="P7" s="157"/>
      <c r="Q7" s="157"/>
      <c r="R7" s="157"/>
      <c r="S7" s="157"/>
      <c r="T7" s="157"/>
      <c r="U7" s="157"/>
      <c r="V7" s="158"/>
    </row>
    <row r="8" spans="2:24" ht="81" customHeight="1" thickBot="1">
      <c r="B8" s="150"/>
      <c r="C8" s="151"/>
      <c r="D8" s="151"/>
      <c r="E8" s="151"/>
      <c r="F8" s="152"/>
      <c r="G8" s="45" t="s">
        <v>164</v>
      </c>
      <c r="H8" s="46" t="s">
        <v>165</v>
      </c>
      <c r="I8" s="46" t="s">
        <v>166</v>
      </c>
      <c r="J8" s="46" t="s">
        <v>167</v>
      </c>
      <c r="K8" s="46" t="s">
        <v>74</v>
      </c>
      <c r="L8" s="47" t="s">
        <v>79</v>
      </c>
      <c r="M8" s="123" t="s">
        <v>168</v>
      </c>
      <c r="N8" s="124" t="s">
        <v>172</v>
      </c>
      <c r="O8" s="125" t="s">
        <v>174</v>
      </c>
      <c r="P8" s="160"/>
      <c r="Q8" s="160"/>
      <c r="R8" s="160"/>
      <c r="S8" s="160"/>
      <c r="T8" s="160"/>
      <c r="U8" s="160"/>
      <c r="V8" s="161"/>
    </row>
    <row r="9" spans="2:24" ht="72" customHeight="1" thickBot="1">
      <c r="B9" s="49" t="s">
        <v>64</v>
      </c>
      <c r="C9" s="172" t="s">
        <v>65</v>
      </c>
      <c r="D9" s="173"/>
      <c r="E9" s="50" t="s">
        <v>72</v>
      </c>
      <c r="F9" s="51" t="s">
        <v>80</v>
      </c>
      <c r="G9" s="170" t="s">
        <v>70</v>
      </c>
      <c r="H9" s="171"/>
      <c r="I9" s="171"/>
      <c r="J9" s="171"/>
      <c r="K9" s="171"/>
      <c r="L9" s="200"/>
      <c r="M9" s="201" t="s">
        <v>169</v>
      </c>
      <c r="N9" s="202"/>
      <c r="O9" s="202"/>
      <c r="P9" s="52" t="s">
        <v>66</v>
      </c>
      <c r="Q9" s="52" t="s">
        <v>67</v>
      </c>
      <c r="R9" s="52" t="s">
        <v>68</v>
      </c>
      <c r="S9" s="52" t="s">
        <v>0</v>
      </c>
      <c r="T9" s="52" t="s">
        <v>69</v>
      </c>
      <c r="U9" s="52" t="s">
        <v>1</v>
      </c>
      <c r="V9" s="52" t="s">
        <v>2</v>
      </c>
    </row>
    <row r="10" spans="2:24" ht="98">
      <c r="B10" s="73">
        <v>1</v>
      </c>
      <c r="C10" s="74" t="s">
        <v>84</v>
      </c>
      <c r="D10" s="77" t="s">
        <v>85</v>
      </c>
      <c r="E10" s="78" t="s">
        <v>162</v>
      </c>
      <c r="F10" s="84">
        <v>1</v>
      </c>
      <c r="G10" s="116">
        <v>1350765</v>
      </c>
      <c r="H10" s="117"/>
      <c r="I10" s="118"/>
      <c r="J10" s="116">
        <v>1071000</v>
      </c>
      <c r="K10" s="116"/>
      <c r="L10" s="119"/>
      <c r="M10" s="87"/>
      <c r="N10" s="88"/>
      <c r="O10" s="89"/>
      <c r="P10" s="85">
        <f t="shared" ref="P10:P16" si="0">COUNT(G10:O10)</f>
        <v>2</v>
      </c>
      <c r="Q10" s="58">
        <f t="shared" ref="Q10:Q16" si="1">ROUND(AVERAGE(G10:O10),0)</f>
        <v>1210883</v>
      </c>
      <c r="R10" s="59">
        <f t="shared" ref="R10:R16" si="2">ROUND(+Q10*F10,0)</f>
        <v>1210883</v>
      </c>
      <c r="S10" s="60">
        <f t="shared" ref="S10:S16" si="3">STDEVP(G10:O10)</f>
        <v>139882.5</v>
      </c>
      <c r="T10" s="62">
        <f t="shared" ref="T10:T56" si="4">S10/Q10*100</f>
        <v>11.552107016119642</v>
      </c>
      <c r="U10" s="62">
        <f t="shared" ref="U10:U56" si="5">100-T10</f>
        <v>88.447892983880365</v>
      </c>
      <c r="V10" s="63" t="str">
        <f t="shared" ref="V10:V56" si="6">IF(U10&gt;70,"ALTO","BAJO")</f>
        <v>ALTO</v>
      </c>
    </row>
    <row r="11" spans="2:24" ht="84">
      <c r="B11" s="73">
        <v>2</v>
      </c>
      <c r="C11" s="74" t="s">
        <v>84</v>
      </c>
      <c r="D11" s="75" t="s">
        <v>86</v>
      </c>
      <c r="E11" s="78" t="s">
        <v>162</v>
      </c>
      <c r="F11" s="84">
        <v>1</v>
      </c>
      <c r="G11" s="66">
        <v>1719377</v>
      </c>
      <c r="H11" s="94"/>
      <c r="I11" s="91"/>
      <c r="J11" s="66">
        <v>1368500</v>
      </c>
      <c r="K11" s="66"/>
      <c r="L11" s="67"/>
      <c r="M11" s="90"/>
      <c r="N11" s="91"/>
      <c r="O11" s="92"/>
      <c r="P11" s="85">
        <f t="shared" si="0"/>
        <v>2</v>
      </c>
      <c r="Q11" s="58">
        <f t="shared" si="1"/>
        <v>1543939</v>
      </c>
      <c r="R11" s="59">
        <f t="shared" si="2"/>
        <v>1543939</v>
      </c>
      <c r="S11" s="60">
        <f t="shared" si="3"/>
        <v>175438.5</v>
      </c>
      <c r="T11" s="62">
        <f t="shared" si="4"/>
        <v>11.363046078893014</v>
      </c>
      <c r="U11" s="62">
        <f t="shared" si="5"/>
        <v>88.636953921106993</v>
      </c>
      <c r="V11" s="63" t="str">
        <f t="shared" si="6"/>
        <v>ALTO</v>
      </c>
    </row>
    <row r="12" spans="2:24" ht="70">
      <c r="B12" s="76">
        <v>3</v>
      </c>
      <c r="C12" s="74" t="s">
        <v>84</v>
      </c>
      <c r="D12" s="77" t="s">
        <v>87</v>
      </c>
      <c r="E12" s="78" t="s">
        <v>162</v>
      </c>
      <c r="F12" s="84">
        <v>1</v>
      </c>
      <c r="G12" s="66">
        <v>3718750</v>
      </c>
      <c r="H12" s="94"/>
      <c r="I12" s="91"/>
      <c r="J12" s="66">
        <v>2915500</v>
      </c>
      <c r="K12" s="66"/>
      <c r="L12" s="67"/>
      <c r="M12" s="90"/>
      <c r="N12" s="91"/>
      <c r="O12" s="92"/>
      <c r="P12" s="85">
        <f t="shared" si="0"/>
        <v>2</v>
      </c>
      <c r="Q12" s="58">
        <f t="shared" si="1"/>
        <v>3317125</v>
      </c>
      <c r="R12" s="59">
        <f t="shared" si="2"/>
        <v>3317125</v>
      </c>
      <c r="S12" s="60">
        <f t="shared" si="3"/>
        <v>401625</v>
      </c>
      <c r="T12" s="62">
        <f t="shared" si="4"/>
        <v>12.107623318385651</v>
      </c>
      <c r="U12" s="62">
        <f t="shared" si="5"/>
        <v>87.892376681614351</v>
      </c>
      <c r="V12" s="63" t="str">
        <f t="shared" si="6"/>
        <v>ALTO</v>
      </c>
    </row>
    <row r="13" spans="2:24" ht="70">
      <c r="B13" s="73">
        <v>4</v>
      </c>
      <c r="C13" s="74" t="s">
        <v>84</v>
      </c>
      <c r="D13" s="75" t="s">
        <v>88</v>
      </c>
      <c r="E13" s="78" t="s">
        <v>162</v>
      </c>
      <c r="F13" s="84">
        <v>1</v>
      </c>
      <c r="G13" s="66">
        <v>9222500</v>
      </c>
      <c r="H13" s="65">
        <v>5831000</v>
      </c>
      <c r="I13" s="91"/>
      <c r="J13" s="66">
        <v>7140000</v>
      </c>
      <c r="K13" s="66"/>
      <c r="L13" s="67"/>
      <c r="M13" s="90"/>
      <c r="N13" s="91"/>
      <c r="O13" s="92"/>
      <c r="P13" s="85">
        <f t="shared" si="0"/>
        <v>3</v>
      </c>
      <c r="Q13" s="58">
        <f t="shared" si="1"/>
        <v>7397833</v>
      </c>
      <c r="R13" s="59">
        <f t="shared" si="2"/>
        <v>7397833</v>
      </c>
      <c r="S13" s="60">
        <f t="shared" si="3"/>
        <v>1396525.828221193</v>
      </c>
      <c r="T13" s="62">
        <f t="shared" si="4"/>
        <v>18.877498697540119</v>
      </c>
      <c r="U13" s="62">
        <f t="shared" si="5"/>
        <v>81.122501302459881</v>
      </c>
      <c r="V13" s="63" t="str">
        <f t="shared" si="6"/>
        <v>ALTO</v>
      </c>
    </row>
    <row r="14" spans="2:24">
      <c r="B14" s="73">
        <v>5</v>
      </c>
      <c r="C14" s="74" t="s">
        <v>89</v>
      </c>
      <c r="D14" s="77" t="s">
        <v>90</v>
      </c>
      <c r="E14" s="78" t="s">
        <v>162</v>
      </c>
      <c r="F14" s="84">
        <v>1</v>
      </c>
      <c r="G14" s="66">
        <v>2975</v>
      </c>
      <c r="H14" s="94"/>
      <c r="I14" s="91"/>
      <c r="J14" s="66">
        <v>2142</v>
      </c>
      <c r="K14" s="66"/>
      <c r="L14" s="67"/>
      <c r="M14" s="64">
        <f>2023*1.00338</f>
        <v>2029.8377399999999</v>
      </c>
      <c r="N14" s="66">
        <f>1723*1.051</f>
        <v>1810.8729999999998</v>
      </c>
      <c r="O14" s="86">
        <f>2154*1.0515</f>
        <v>2264.931</v>
      </c>
      <c r="P14" s="85">
        <f t="shared" si="0"/>
        <v>5</v>
      </c>
      <c r="Q14" s="58">
        <f t="shared" si="1"/>
        <v>2245</v>
      </c>
      <c r="R14" s="59">
        <f t="shared" si="2"/>
        <v>2245</v>
      </c>
      <c r="S14" s="60">
        <f t="shared" si="3"/>
        <v>394.63050635759498</v>
      </c>
      <c r="T14" s="62">
        <f t="shared" si="4"/>
        <v>17.578196274280401</v>
      </c>
      <c r="U14" s="62">
        <f t="shared" si="5"/>
        <v>82.421803725719599</v>
      </c>
      <c r="V14" s="63" t="str">
        <f t="shared" si="6"/>
        <v>ALTO</v>
      </c>
    </row>
    <row r="15" spans="2:24">
      <c r="B15" s="76">
        <v>6</v>
      </c>
      <c r="C15" s="74" t="s">
        <v>91</v>
      </c>
      <c r="D15" s="75" t="s">
        <v>92</v>
      </c>
      <c r="E15" s="78" t="s">
        <v>162</v>
      </c>
      <c r="F15" s="84">
        <v>1</v>
      </c>
      <c r="G15" s="91"/>
      <c r="H15" s="65">
        <v>202300</v>
      </c>
      <c r="I15" s="66"/>
      <c r="J15" s="66">
        <v>202300</v>
      </c>
      <c r="K15" s="66"/>
      <c r="L15" s="67"/>
      <c r="M15" s="64">
        <f>190400*1.00338</f>
        <v>191043.552</v>
      </c>
      <c r="N15" s="66">
        <f>172054*1.051</f>
        <v>180828.75399999999</v>
      </c>
      <c r="O15" s="86">
        <f>163665*1.0515</f>
        <v>172093.74750000003</v>
      </c>
      <c r="P15" s="85">
        <f t="shared" si="0"/>
        <v>5</v>
      </c>
      <c r="Q15" s="58">
        <f t="shared" si="1"/>
        <v>189713</v>
      </c>
      <c r="R15" s="59">
        <f t="shared" si="2"/>
        <v>189713</v>
      </c>
      <c r="S15" s="60">
        <f t="shared" si="3"/>
        <v>11899.608330109048</v>
      </c>
      <c r="T15" s="62">
        <f t="shared" si="4"/>
        <v>6.2724264178569982</v>
      </c>
      <c r="U15" s="62">
        <f t="shared" si="5"/>
        <v>93.727573582143009</v>
      </c>
      <c r="V15" s="63" t="str">
        <f t="shared" si="6"/>
        <v>ALTO</v>
      </c>
    </row>
    <row r="16" spans="2:24">
      <c r="B16" s="73">
        <v>7</v>
      </c>
      <c r="C16" s="74" t="s">
        <v>93</v>
      </c>
      <c r="D16" s="75" t="s">
        <v>94</v>
      </c>
      <c r="E16" s="78" t="s">
        <v>162</v>
      </c>
      <c r="F16" s="84">
        <v>1</v>
      </c>
      <c r="G16" s="91"/>
      <c r="H16" s="94"/>
      <c r="I16" s="66">
        <v>174216</v>
      </c>
      <c r="J16" s="66">
        <v>238000</v>
      </c>
      <c r="K16" s="66"/>
      <c r="L16" s="67"/>
      <c r="M16" s="64">
        <f>249900*1.00338</f>
        <v>250744.66199999998</v>
      </c>
      <c r="N16" s="66">
        <f>177708*1.051</f>
        <v>186771.10799999998</v>
      </c>
      <c r="O16" s="86">
        <f>199295*1.0515</f>
        <v>209558.69250000003</v>
      </c>
      <c r="P16" s="85">
        <f t="shared" si="0"/>
        <v>5</v>
      </c>
      <c r="Q16" s="58">
        <f t="shared" si="1"/>
        <v>211858</v>
      </c>
      <c r="R16" s="59">
        <f t="shared" si="2"/>
        <v>211858</v>
      </c>
      <c r="S16" s="60">
        <f t="shared" si="3"/>
        <v>29144.933606576091</v>
      </c>
      <c r="T16" s="62">
        <f t="shared" si="4"/>
        <v>13.756824668681897</v>
      </c>
      <c r="U16" s="62">
        <f t="shared" si="5"/>
        <v>86.243175331318099</v>
      </c>
      <c r="V16" s="63" t="str">
        <f t="shared" si="6"/>
        <v>ALTO</v>
      </c>
    </row>
    <row r="17" spans="2:22">
      <c r="B17" s="73">
        <v>8</v>
      </c>
      <c r="C17" s="74" t="s">
        <v>95</v>
      </c>
      <c r="D17" s="75" t="s">
        <v>96</v>
      </c>
      <c r="E17" s="78" t="s">
        <v>162</v>
      </c>
      <c r="F17" s="84">
        <v>1</v>
      </c>
      <c r="G17" s="91"/>
      <c r="H17" s="94"/>
      <c r="I17" s="66">
        <v>108885</v>
      </c>
      <c r="J17" s="66">
        <v>95200</v>
      </c>
      <c r="K17" s="66"/>
      <c r="L17" s="67"/>
      <c r="M17" s="64">
        <f>83300*1.00338</f>
        <v>83581.553999999989</v>
      </c>
      <c r="N17" s="66">
        <f>80477*1.051</f>
        <v>84581.32699999999</v>
      </c>
      <c r="O17" s="109"/>
      <c r="P17" s="85">
        <f t="shared" ref="P17:P56" si="7">COUNT(G17:O17)</f>
        <v>4</v>
      </c>
      <c r="Q17" s="58">
        <f t="shared" ref="Q17:Q56" si="8">ROUND(AVERAGE(G17:O17),0)</f>
        <v>93062</v>
      </c>
      <c r="R17" s="59">
        <f t="shared" ref="R17:R56" si="9">ROUND(+Q17*F17,0)</f>
        <v>93062</v>
      </c>
      <c r="S17" s="60">
        <f t="shared" ref="S17:S56" si="10">STDEVP(G17:O17)</f>
        <v>10207.093659415319</v>
      </c>
      <c r="T17" s="62">
        <f t="shared" si="4"/>
        <v>10.968057487927746</v>
      </c>
      <c r="U17" s="62">
        <f t="shared" si="5"/>
        <v>89.031942512072249</v>
      </c>
      <c r="V17" s="63" t="str">
        <f t="shared" si="6"/>
        <v>ALTO</v>
      </c>
    </row>
    <row r="18" spans="2:22">
      <c r="B18" s="73">
        <v>9</v>
      </c>
      <c r="C18" s="74" t="s">
        <v>97</v>
      </c>
      <c r="D18" s="75" t="s">
        <v>98</v>
      </c>
      <c r="E18" s="78" t="s">
        <v>162</v>
      </c>
      <c r="F18" s="84">
        <v>1</v>
      </c>
      <c r="G18" s="91"/>
      <c r="H18" s="94"/>
      <c r="I18" s="91"/>
      <c r="J18" s="66">
        <v>95200</v>
      </c>
      <c r="K18" s="66"/>
      <c r="L18" s="67"/>
      <c r="M18" s="64">
        <f>83300*1.00338</f>
        <v>83581.553999999989</v>
      </c>
      <c r="N18" s="66">
        <f>92174*1.051</f>
        <v>96874.873999999996</v>
      </c>
      <c r="O18" s="109"/>
      <c r="P18" s="85">
        <f t="shared" si="7"/>
        <v>3</v>
      </c>
      <c r="Q18" s="58">
        <f t="shared" si="8"/>
        <v>91885</v>
      </c>
      <c r="R18" s="59">
        <f t="shared" si="9"/>
        <v>91885</v>
      </c>
      <c r="S18" s="60">
        <f t="shared" si="10"/>
        <v>5911.4375671535863</v>
      </c>
      <c r="T18" s="62">
        <f t="shared" si="4"/>
        <v>6.4335175133629932</v>
      </c>
      <c r="U18" s="62">
        <f t="shared" si="5"/>
        <v>93.566482486637</v>
      </c>
      <c r="V18" s="63" t="str">
        <f t="shared" si="6"/>
        <v>ALTO</v>
      </c>
    </row>
    <row r="19" spans="2:22">
      <c r="B19" s="76">
        <v>10</v>
      </c>
      <c r="C19" s="74" t="s">
        <v>99</v>
      </c>
      <c r="D19" s="75" t="s">
        <v>100</v>
      </c>
      <c r="E19" s="78" t="s">
        <v>162</v>
      </c>
      <c r="F19" s="84">
        <v>1</v>
      </c>
      <c r="G19" s="66">
        <v>452200</v>
      </c>
      <c r="H19" s="94"/>
      <c r="I19" s="91"/>
      <c r="J19" s="66">
        <v>452200</v>
      </c>
      <c r="K19" s="66"/>
      <c r="L19" s="67"/>
      <c r="M19" s="64">
        <f>452200*1.00338</f>
        <v>453728.43599999999</v>
      </c>
      <c r="N19" s="66">
        <f>351251*1.051</f>
        <v>369164.80099999998</v>
      </c>
      <c r="O19" s="109"/>
      <c r="P19" s="85">
        <f t="shared" si="7"/>
        <v>4</v>
      </c>
      <c r="Q19" s="58">
        <f t="shared" si="8"/>
        <v>431823</v>
      </c>
      <c r="R19" s="59">
        <f t="shared" si="9"/>
        <v>431823</v>
      </c>
      <c r="S19" s="60">
        <f t="shared" si="10"/>
        <v>36181.287587270708</v>
      </c>
      <c r="T19" s="62">
        <f t="shared" si="4"/>
        <v>8.3787310048956876</v>
      </c>
      <c r="U19" s="62">
        <f t="shared" si="5"/>
        <v>91.621268995104316</v>
      </c>
      <c r="V19" s="63" t="str">
        <f t="shared" si="6"/>
        <v>ALTO</v>
      </c>
    </row>
    <row r="20" spans="2:22" ht="126">
      <c r="B20" s="73">
        <v>11</v>
      </c>
      <c r="C20" s="74" t="s">
        <v>101</v>
      </c>
      <c r="D20" s="75" t="s">
        <v>102</v>
      </c>
      <c r="E20" s="78" t="s">
        <v>162</v>
      </c>
      <c r="F20" s="84">
        <v>1</v>
      </c>
      <c r="G20" s="91"/>
      <c r="H20" s="94"/>
      <c r="I20" s="91"/>
      <c r="J20" s="66">
        <v>1225700</v>
      </c>
      <c r="K20" s="66"/>
      <c r="L20" s="67"/>
      <c r="M20" s="64">
        <f>1190000*1.00338</f>
        <v>1194022.2</v>
      </c>
      <c r="N20" s="66">
        <f>985575*1.051</f>
        <v>1035839.325</v>
      </c>
      <c r="O20" s="86">
        <f>1185069*1.0515</f>
        <v>1246100.0535000002</v>
      </c>
      <c r="P20" s="85">
        <f t="shared" si="7"/>
        <v>4</v>
      </c>
      <c r="Q20" s="58">
        <f t="shared" si="8"/>
        <v>1175415</v>
      </c>
      <c r="R20" s="59">
        <f t="shared" si="9"/>
        <v>1175415</v>
      </c>
      <c r="S20" s="60">
        <f t="shared" si="10"/>
        <v>82693.039241856095</v>
      </c>
      <c r="T20" s="62">
        <f t="shared" si="4"/>
        <v>7.035220687319466</v>
      </c>
      <c r="U20" s="62">
        <f t="shared" si="5"/>
        <v>92.964779312680534</v>
      </c>
      <c r="V20" s="63" t="str">
        <f t="shared" si="6"/>
        <v>ALTO</v>
      </c>
    </row>
    <row r="21" spans="2:22" ht="126">
      <c r="B21" s="73">
        <v>12</v>
      </c>
      <c r="C21" s="74" t="s">
        <v>103</v>
      </c>
      <c r="D21" s="75" t="s">
        <v>104</v>
      </c>
      <c r="E21" s="78" t="s">
        <v>162</v>
      </c>
      <c r="F21" s="84">
        <v>1</v>
      </c>
      <c r="G21" s="91"/>
      <c r="H21" s="94"/>
      <c r="I21" s="91"/>
      <c r="J21" s="66">
        <v>1428000</v>
      </c>
      <c r="K21" s="66"/>
      <c r="L21" s="67"/>
      <c r="M21" s="64">
        <f>1309000*1.00338</f>
        <v>1313424.42</v>
      </c>
      <c r="N21" s="66">
        <f>1078172*1.051</f>
        <v>1133158.7719999999</v>
      </c>
      <c r="O21" s="86">
        <f>1185069*1.0515</f>
        <v>1246100.0535000002</v>
      </c>
      <c r="P21" s="85">
        <f t="shared" si="7"/>
        <v>4</v>
      </c>
      <c r="Q21" s="58">
        <f t="shared" si="8"/>
        <v>1280171</v>
      </c>
      <c r="R21" s="59">
        <f t="shared" si="9"/>
        <v>1280171</v>
      </c>
      <c r="S21" s="60">
        <f t="shared" si="10"/>
        <v>106925.94137940048</v>
      </c>
      <c r="T21" s="62">
        <f t="shared" si="4"/>
        <v>8.3524733320314617</v>
      </c>
      <c r="U21" s="62">
        <f t="shared" si="5"/>
        <v>91.647526667968535</v>
      </c>
      <c r="V21" s="63" t="str">
        <f t="shared" si="6"/>
        <v>ALTO</v>
      </c>
    </row>
    <row r="22" spans="2:22" ht="98.4" customHeight="1">
      <c r="B22" s="76">
        <v>13</v>
      </c>
      <c r="C22" s="74" t="s">
        <v>105</v>
      </c>
      <c r="D22" s="75" t="s">
        <v>106</v>
      </c>
      <c r="E22" s="78" t="s">
        <v>162</v>
      </c>
      <c r="F22" s="84">
        <v>1</v>
      </c>
      <c r="G22" s="66"/>
      <c r="H22" s="65">
        <v>595000</v>
      </c>
      <c r="I22" s="66">
        <v>406504</v>
      </c>
      <c r="J22" s="66">
        <v>595000</v>
      </c>
      <c r="K22" s="66"/>
      <c r="L22" s="67"/>
      <c r="M22" s="90"/>
      <c r="N22" s="91"/>
      <c r="O22" s="92"/>
      <c r="P22" s="85">
        <f t="shared" si="7"/>
        <v>3</v>
      </c>
      <c r="Q22" s="58">
        <f t="shared" si="8"/>
        <v>532168</v>
      </c>
      <c r="R22" s="59">
        <f t="shared" si="9"/>
        <v>532168</v>
      </c>
      <c r="S22" s="60">
        <f t="shared" si="10"/>
        <v>88857.866551026309</v>
      </c>
      <c r="T22" s="62">
        <f t="shared" si="4"/>
        <v>16.697333652347812</v>
      </c>
      <c r="U22" s="62">
        <f t="shared" si="5"/>
        <v>83.302666347652192</v>
      </c>
      <c r="V22" s="63" t="str">
        <f t="shared" si="6"/>
        <v>ALTO</v>
      </c>
    </row>
    <row r="23" spans="2:22">
      <c r="B23" s="73">
        <v>14</v>
      </c>
      <c r="C23" s="74" t="s">
        <v>107</v>
      </c>
      <c r="D23" s="75" t="s">
        <v>108</v>
      </c>
      <c r="E23" s="78" t="s">
        <v>162</v>
      </c>
      <c r="F23" s="84">
        <v>1</v>
      </c>
      <c r="G23" s="91"/>
      <c r="H23" s="94"/>
      <c r="I23" s="91"/>
      <c r="J23" s="66">
        <v>1309000</v>
      </c>
      <c r="K23" s="66"/>
      <c r="L23" s="67"/>
      <c r="M23" s="64">
        <f>1309000*1.00338</f>
        <v>1313424.42</v>
      </c>
      <c r="N23" s="66">
        <f>678886*1.051</f>
        <v>713509.18599999999</v>
      </c>
      <c r="O23" s="92"/>
      <c r="P23" s="85">
        <f>COUNT(G23:O23)</f>
        <v>3</v>
      </c>
      <c r="Q23" s="58">
        <f t="shared" si="8"/>
        <v>1111978</v>
      </c>
      <c r="R23" s="59">
        <f t="shared" si="9"/>
        <v>1111978</v>
      </c>
      <c r="S23" s="60">
        <f t="shared" si="10"/>
        <v>281765.69719380437</v>
      </c>
      <c r="T23" s="62">
        <f t="shared" si="4"/>
        <v>25.339143147958353</v>
      </c>
      <c r="U23" s="62">
        <f t="shared" si="5"/>
        <v>74.660856852041647</v>
      </c>
      <c r="V23" s="63" t="str">
        <f t="shared" si="6"/>
        <v>ALTO</v>
      </c>
    </row>
    <row r="24" spans="2:22" ht="84">
      <c r="B24" s="73">
        <v>15</v>
      </c>
      <c r="C24" s="74" t="s">
        <v>109</v>
      </c>
      <c r="D24" s="75" t="s">
        <v>110</v>
      </c>
      <c r="E24" s="78" t="s">
        <v>162</v>
      </c>
      <c r="F24" s="84">
        <v>1</v>
      </c>
      <c r="G24" s="66">
        <v>89745</v>
      </c>
      <c r="H24" s="65">
        <v>66640</v>
      </c>
      <c r="I24" s="66"/>
      <c r="J24" s="66">
        <v>77350</v>
      </c>
      <c r="K24" s="66"/>
      <c r="L24" s="67"/>
      <c r="M24" s="90"/>
      <c r="N24" s="91"/>
      <c r="O24" s="92"/>
      <c r="P24" s="85">
        <f t="shared" si="7"/>
        <v>3</v>
      </c>
      <c r="Q24" s="58">
        <f t="shared" si="8"/>
        <v>77912</v>
      </c>
      <c r="R24" s="59">
        <f t="shared" si="9"/>
        <v>77912</v>
      </c>
      <c r="S24" s="60">
        <f t="shared" si="10"/>
        <v>9440.9342169559095</v>
      </c>
      <c r="T24" s="62">
        <f t="shared" si="4"/>
        <v>12.117432766397872</v>
      </c>
      <c r="U24" s="62">
        <f t="shared" si="5"/>
        <v>87.882567233602131</v>
      </c>
      <c r="V24" s="63" t="str">
        <f t="shared" si="6"/>
        <v>ALTO</v>
      </c>
    </row>
    <row r="25" spans="2:22">
      <c r="B25" s="73">
        <v>16</v>
      </c>
      <c r="C25" s="74" t="s">
        <v>111</v>
      </c>
      <c r="D25" s="75" t="s">
        <v>112</v>
      </c>
      <c r="E25" s="78" t="s">
        <v>162</v>
      </c>
      <c r="F25" s="84">
        <v>1</v>
      </c>
      <c r="G25" s="91"/>
      <c r="H25" s="94"/>
      <c r="I25" s="91"/>
      <c r="J25" s="66">
        <v>1011500</v>
      </c>
      <c r="K25" s="66"/>
      <c r="L25" s="67"/>
      <c r="M25" s="64">
        <f>952000*1.00338</f>
        <v>955217.75999999989</v>
      </c>
      <c r="N25" s="66">
        <f>846609*1.051</f>
        <v>889786.05899999989</v>
      </c>
      <c r="O25" s="86">
        <f>994910*1.0515</f>
        <v>1046147.8650000001</v>
      </c>
      <c r="P25" s="85">
        <f t="shared" si="7"/>
        <v>4</v>
      </c>
      <c r="Q25" s="58">
        <f t="shared" si="8"/>
        <v>975663</v>
      </c>
      <c r="R25" s="59">
        <f t="shared" si="9"/>
        <v>975663</v>
      </c>
      <c r="S25" s="60">
        <f t="shared" si="10"/>
        <v>59256.357458964645</v>
      </c>
      <c r="T25" s="62">
        <f t="shared" si="4"/>
        <v>6.0734451812731081</v>
      </c>
      <c r="U25" s="62">
        <f t="shared" si="5"/>
        <v>93.926554818726885</v>
      </c>
      <c r="V25" s="63" t="str">
        <f t="shared" si="6"/>
        <v>ALTO</v>
      </c>
    </row>
    <row r="26" spans="2:22" ht="98">
      <c r="B26" s="76">
        <v>17</v>
      </c>
      <c r="C26" s="74" t="s">
        <v>113</v>
      </c>
      <c r="D26" s="75" t="s">
        <v>114</v>
      </c>
      <c r="E26" s="78" t="s">
        <v>162</v>
      </c>
      <c r="F26" s="84">
        <v>1</v>
      </c>
      <c r="G26" s="91"/>
      <c r="H26" s="94"/>
      <c r="I26" s="91"/>
      <c r="J26" s="66">
        <v>5831000</v>
      </c>
      <c r="K26" s="66"/>
      <c r="L26" s="67"/>
      <c r="M26" s="64">
        <f>5474000*1.00338</f>
        <v>5492502.1200000001</v>
      </c>
      <c r="N26" s="66">
        <f>5269753*1.051</f>
        <v>5538510.4029999999</v>
      </c>
      <c r="O26" s="86">
        <f>5873138*1.0515</f>
        <v>6175604.6070000008</v>
      </c>
      <c r="P26" s="85">
        <f t="shared" si="7"/>
        <v>4</v>
      </c>
      <c r="Q26" s="58">
        <f t="shared" si="8"/>
        <v>5759404</v>
      </c>
      <c r="R26" s="59">
        <f t="shared" si="9"/>
        <v>5759404</v>
      </c>
      <c r="S26" s="60">
        <f t="shared" si="10"/>
        <v>273120.6359953339</v>
      </c>
      <c r="T26" s="62">
        <f t="shared" si="4"/>
        <v>4.7421683909538892</v>
      </c>
      <c r="U26" s="62">
        <f t="shared" si="5"/>
        <v>95.257831609046107</v>
      </c>
      <c r="V26" s="63" t="str">
        <f t="shared" si="6"/>
        <v>ALTO</v>
      </c>
    </row>
    <row r="27" spans="2:22" ht="28">
      <c r="B27" s="73">
        <v>18</v>
      </c>
      <c r="C27" s="74" t="s">
        <v>115</v>
      </c>
      <c r="D27" s="75" t="s">
        <v>116</v>
      </c>
      <c r="E27" s="78" t="s">
        <v>162</v>
      </c>
      <c r="F27" s="84">
        <v>1</v>
      </c>
      <c r="G27" s="66">
        <v>547400</v>
      </c>
      <c r="H27" s="65">
        <v>666400</v>
      </c>
      <c r="I27" s="66">
        <v>508130</v>
      </c>
      <c r="J27" s="66">
        <v>583100</v>
      </c>
      <c r="K27" s="66"/>
      <c r="L27" s="67"/>
      <c r="M27" s="64">
        <f>571200*1.00338</f>
        <v>573130.65599999996</v>
      </c>
      <c r="N27" s="66">
        <f>550880*1.051</f>
        <v>578974.88</v>
      </c>
      <c r="O27" s="86">
        <f>649047*1.0515</f>
        <v>682472.92050000012</v>
      </c>
      <c r="P27" s="85">
        <f t="shared" si="7"/>
        <v>7</v>
      </c>
      <c r="Q27" s="58">
        <f t="shared" si="8"/>
        <v>591373</v>
      </c>
      <c r="R27" s="59">
        <f t="shared" si="9"/>
        <v>591373</v>
      </c>
      <c r="S27" s="60">
        <f t="shared" si="10"/>
        <v>57750.95180951056</v>
      </c>
      <c r="T27" s="62">
        <f t="shared" si="4"/>
        <v>9.7655712738847669</v>
      </c>
      <c r="U27" s="62">
        <f t="shared" si="5"/>
        <v>90.234428726115226</v>
      </c>
      <c r="V27" s="63" t="str">
        <f t="shared" si="6"/>
        <v>ALTO</v>
      </c>
    </row>
    <row r="28" spans="2:22" ht="112.25" customHeight="1">
      <c r="B28" s="73">
        <v>19</v>
      </c>
      <c r="C28" s="74" t="s">
        <v>117</v>
      </c>
      <c r="D28" s="75" t="s">
        <v>118</v>
      </c>
      <c r="E28" s="78" t="s">
        <v>162</v>
      </c>
      <c r="F28" s="84">
        <v>1</v>
      </c>
      <c r="G28" s="91"/>
      <c r="H28" s="65">
        <v>214200</v>
      </c>
      <c r="I28" s="66">
        <v>217770</v>
      </c>
      <c r="J28" s="66">
        <v>226100</v>
      </c>
      <c r="K28" s="91"/>
      <c r="L28" s="93"/>
      <c r="M28" s="90"/>
      <c r="N28" s="91"/>
      <c r="O28" s="92"/>
      <c r="P28" s="85">
        <f t="shared" si="7"/>
        <v>3</v>
      </c>
      <c r="Q28" s="58">
        <f t="shared" si="8"/>
        <v>219357</v>
      </c>
      <c r="R28" s="59">
        <f t="shared" si="9"/>
        <v>219357</v>
      </c>
      <c r="S28" s="60">
        <f t="shared" si="10"/>
        <v>4986.022685690692</v>
      </c>
      <c r="T28" s="62">
        <f t="shared" si="4"/>
        <v>2.2730173578644366</v>
      </c>
      <c r="U28" s="62">
        <f t="shared" si="5"/>
        <v>97.726982642135567</v>
      </c>
      <c r="V28" s="63" t="str">
        <f t="shared" si="6"/>
        <v>ALTO</v>
      </c>
    </row>
    <row r="29" spans="2:22" ht="28">
      <c r="B29" s="76">
        <v>20</v>
      </c>
      <c r="C29" s="74" t="s">
        <v>119</v>
      </c>
      <c r="D29" s="75" t="s">
        <v>120</v>
      </c>
      <c r="E29" s="78" t="s">
        <v>162</v>
      </c>
      <c r="F29" s="84">
        <v>1</v>
      </c>
      <c r="G29" s="91"/>
      <c r="H29" s="65">
        <v>1309000</v>
      </c>
      <c r="I29" s="91"/>
      <c r="J29" s="66">
        <v>1011500</v>
      </c>
      <c r="K29" s="66"/>
      <c r="L29" s="67"/>
      <c r="M29" s="64">
        <f>833000*1.00338</f>
        <v>835815.53999999992</v>
      </c>
      <c r="N29" s="66">
        <f>875293*1.051</f>
        <v>919932.94299999997</v>
      </c>
      <c r="O29" s="86">
        <f>1111981*1.0515</f>
        <v>1169248.0215</v>
      </c>
      <c r="P29" s="85">
        <f t="shared" si="7"/>
        <v>5</v>
      </c>
      <c r="Q29" s="58">
        <f t="shared" si="8"/>
        <v>1049099</v>
      </c>
      <c r="R29" s="59">
        <f t="shared" si="9"/>
        <v>1049099</v>
      </c>
      <c r="S29" s="60">
        <f t="shared" si="10"/>
        <v>170629.25104415943</v>
      </c>
      <c r="T29" s="62">
        <f t="shared" si="4"/>
        <v>16.264361232272591</v>
      </c>
      <c r="U29" s="62">
        <f t="shared" si="5"/>
        <v>83.735638767727409</v>
      </c>
      <c r="V29" s="63" t="str">
        <f t="shared" si="6"/>
        <v>ALTO</v>
      </c>
    </row>
    <row r="30" spans="2:22">
      <c r="B30" s="73">
        <v>21</v>
      </c>
      <c r="C30" s="74" t="s">
        <v>121</v>
      </c>
      <c r="D30" s="75" t="s">
        <v>122</v>
      </c>
      <c r="E30" s="78" t="s">
        <v>162</v>
      </c>
      <c r="F30" s="84">
        <v>1</v>
      </c>
      <c r="G30" s="91"/>
      <c r="H30" s="65">
        <v>202300</v>
      </c>
      <c r="I30" s="91"/>
      <c r="J30" s="66">
        <v>190400</v>
      </c>
      <c r="K30" s="66"/>
      <c r="L30" s="67"/>
      <c r="M30" s="64">
        <f>202300*1.00338</f>
        <v>202983.77399999998</v>
      </c>
      <c r="N30" s="91"/>
      <c r="O30" s="92"/>
      <c r="P30" s="85">
        <f t="shared" si="7"/>
        <v>3</v>
      </c>
      <c r="Q30" s="58">
        <f t="shared" si="8"/>
        <v>198561</v>
      </c>
      <c r="R30" s="59">
        <f t="shared" si="9"/>
        <v>198561</v>
      </c>
      <c r="S30" s="60">
        <f t="shared" si="10"/>
        <v>5777.6284539415128</v>
      </c>
      <c r="T30" s="62">
        <f t="shared" si="4"/>
        <v>2.9097498773382049</v>
      </c>
      <c r="U30" s="62">
        <f t="shared" si="5"/>
        <v>97.0902501226618</v>
      </c>
      <c r="V30" s="63" t="str">
        <f t="shared" si="6"/>
        <v>ALTO</v>
      </c>
    </row>
    <row r="31" spans="2:22">
      <c r="B31" s="73">
        <v>22</v>
      </c>
      <c r="C31" s="74" t="s">
        <v>121</v>
      </c>
      <c r="D31" s="75" t="s">
        <v>123</v>
      </c>
      <c r="E31" s="78" t="s">
        <v>162</v>
      </c>
      <c r="F31" s="84">
        <v>1</v>
      </c>
      <c r="G31" s="91"/>
      <c r="H31" s="65">
        <v>333200</v>
      </c>
      <c r="I31" s="91"/>
      <c r="J31" s="66">
        <v>273700</v>
      </c>
      <c r="K31" s="66"/>
      <c r="L31" s="67"/>
      <c r="M31" s="64">
        <f>315350*1.00338</f>
        <v>316415.88299999997</v>
      </c>
      <c r="N31" s="91"/>
      <c r="O31" s="92"/>
      <c r="P31" s="85">
        <f t="shared" si="7"/>
        <v>3</v>
      </c>
      <c r="Q31" s="58">
        <f t="shared" si="8"/>
        <v>307772</v>
      </c>
      <c r="R31" s="59">
        <f t="shared" si="9"/>
        <v>307772</v>
      </c>
      <c r="S31" s="60">
        <f t="shared" si="10"/>
        <v>25047.961203213898</v>
      </c>
      <c r="T31" s="62">
        <f t="shared" si="4"/>
        <v>8.1384795248475807</v>
      </c>
      <c r="U31" s="62">
        <f t="shared" si="5"/>
        <v>91.861520475152417</v>
      </c>
      <c r="V31" s="63" t="str">
        <f t="shared" si="6"/>
        <v>ALTO</v>
      </c>
    </row>
    <row r="32" spans="2:22" ht="56">
      <c r="B32" s="73">
        <v>23</v>
      </c>
      <c r="C32" s="74" t="s">
        <v>124</v>
      </c>
      <c r="D32" s="75" t="s">
        <v>125</v>
      </c>
      <c r="E32" s="78" t="s">
        <v>162</v>
      </c>
      <c r="F32" s="84">
        <v>1</v>
      </c>
      <c r="G32" s="91"/>
      <c r="H32" s="94"/>
      <c r="I32" s="91"/>
      <c r="J32" s="66">
        <v>5355000</v>
      </c>
      <c r="K32" s="66"/>
      <c r="L32" s="67"/>
      <c r="M32" s="64">
        <f>5355000*1.00338</f>
        <v>5373099.8999999994</v>
      </c>
      <c r="N32" s="66">
        <f>4240599*1.051</f>
        <v>4456869.5489999996</v>
      </c>
      <c r="O32" s="86">
        <f>4959539*1.0515</f>
        <v>5214955.2585000005</v>
      </c>
      <c r="P32" s="85">
        <f t="shared" si="7"/>
        <v>4</v>
      </c>
      <c r="Q32" s="58">
        <f t="shared" si="8"/>
        <v>5099981</v>
      </c>
      <c r="R32" s="59">
        <f t="shared" si="9"/>
        <v>5099981</v>
      </c>
      <c r="S32" s="60">
        <f t="shared" si="10"/>
        <v>376311.05565178231</v>
      </c>
      <c r="T32" s="62">
        <f t="shared" si="4"/>
        <v>7.3786756392187014</v>
      </c>
      <c r="U32" s="62">
        <f t="shared" si="5"/>
        <v>92.621324360781301</v>
      </c>
      <c r="V32" s="63" t="str">
        <f t="shared" si="6"/>
        <v>ALTO</v>
      </c>
    </row>
    <row r="33" spans="2:22" ht="56">
      <c r="B33" s="76">
        <v>24</v>
      </c>
      <c r="C33" s="74" t="s">
        <v>124</v>
      </c>
      <c r="D33" s="75" t="s">
        <v>126</v>
      </c>
      <c r="E33" s="78" t="s">
        <v>162</v>
      </c>
      <c r="F33" s="84">
        <v>1</v>
      </c>
      <c r="G33" s="91"/>
      <c r="H33" s="94"/>
      <c r="I33" s="91"/>
      <c r="J33" s="66">
        <v>1666000</v>
      </c>
      <c r="K33" s="66"/>
      <c r="L33" s="67"/>
      <c r="M33" s="64">
        <f>1428000*1.00338</f>
        <v>1432826.64</v>
      </c>
      <c r="N33" s="66">
        <f>1222919*1.051</f>
        <v>1285287.8689999999</v>
      </c>
      <c r="O33" s="86">
        <f>1566170*1.0515</f>
        <v>1646827.7550000001</v>
      </c>
      <c r="P33" s="85">
        <f t="shared" si="7"/>
        <v>4</v>
      </c>
      <c r="Q33" s="58">
        <f t="shared" si="8"/>
        <v>1507736</v>
      </c>
      <c r="R33" s="59">
        <f t="shared" si="9"/>
        <v>1507736</v>
      </c>
      <c r="S33" s="60">
        <f t="shared" si="10"/>
        <v>157709.06220413468</v>
      </c>
      <c r="T33" s="62">
        <f t="shared" si="4"/>
        <v>10.459991815817537</v>
      </c>
      <c r="U33" s="62">
        <f t="shared" si="5"/>
        <v>89.540008184182469</v>
      </c>
      <c r="V33" s="63" t="str">
        <f t="shared" si="6"/>
        <v>ALTO</v>
      </c>
    </row>
    <row r="34" spans="2:22" ht="56">
      <c r="B34" s="73">
        <v>25</v>
      </c>
      <c r="C34" s="74" t="s">
        <v>124</v>
      </c>
      <c r="D34" s="75" t="s">
        <v>127</v>
      </c>
      <c r="E34" s="78" t="s">
        <v>162</v>
      </c>
      <c r="F34" s="84">
        <v>1</v>
      </c>
      <c r="G34" s="66">
        <v>2142000</v>
      </c>
      <c r="H34" s="94"/>
      <c r="I34" s="91"/>
      <c r="J34" s="66">
        <v>1963500</v>
      </c>
      <c r="K34" s="66"/>
      <c r="L34" s="67"/>
      <c r="M34" s="64">
        <f>1785000*1.00338</f>
        <v>1791033.2999999998</v>
      </c>
      <c r="N34" s="66"/>
      <c r="O34" s="86">
        <f>1012137*1.0515</f>
        <v>1064262.0555</v>
      </c>
      <c r="P34" s="85">
        <f t="shared" si="7"/>
        <v>4</v>
      </c>
      <c r="Q34" s="58">
        <f t="shared" si="8"/>
        <v>1740199</v>
      </c>
      <c r="R34" s="59">
        <f t="shared" si="9"/>
        <v>1740199</v>
      </c>
      <c r="S34" s="60">
        <f t="shared" si="10"/>
        <v>409506.48932537774</v>
      </c>
      <c r="T34" s="62">
        <f t="shared" si="4"/>
        <v>23.532164386106285</v>
      </c>
      <c r="U34" s="62">
        <f t="shared" si="5"/>
        <v>76.467835613893712</v>
      </c>
      <c r="V34" s="63" t="str">
        <f t="shared" si="6"/>
        <v>ALTO</v>
      </c>
    </row>
    <row r="35" spans="2:22">
      <c r="B35" s="73">
        <v>26</v>
      </c>
      <c r="C35" s="74" t="s">
        <v>128</v>
      </c>
      <c r="D35" s="75" t="s">
        <v>129</v>
      </c>
      <c r="E35" s="78" t="s">
        <v>162</v>
      </c>
      <c r="F35" s="84">
        <v>1</v>
      </c>
      <c r="G35" s="91"/>
      <c r="H35" s="94"/>
      <c r="I35" s="91"/>
      <c r="J35" s="66">
        <v>190400</v>
      </c>
      <c r="K35" s="66"/>
      <c r="L35" s="67"/>
      <c r="M35" s="64">
        <f>178500*1.00338</f>
        <v>179103.33</v>
      </c>
      <c r="N35" s="66">
        <f>158279*1.051</f>
        <v>166351.22899999999</v>
      </c>
      <c r="O35" s="86">
        <f>217045*1.0515</f>
        <v>228222.81750000003</v>
      </c>
      <c r="P35" s="85">
        <f t="shared" si="7"/>
        <v>4</v>
      </c>
      <c r="Q35" s="58">
        <f t="shared" si="8"/>
        <v>191019</v>
      </c>
      <c r="R35" s="59">
        <f t="shared" si="9"/>
        <v>191019</v>
      </c>
      <c r="S35" s="60">
        <f t="shared" si="10"/>
        <v>23102.972291228129</v>
      </c>
      <c r="T35" s="62">
        <f t="shared" si="4"/>
        <v>12.094593883973912</v>
      </c>
      <c r="U35" s="62">
        <f t="shared" si="5"/>
        <v>87.905406116026086</v>
      </c>
      <c r="V35" s="63" t="str">
        <f t="shared" si="6"/>
        <v>ALTO</v>
      </c>
    </row>
    <row r="36" spans="2:22">
      <c r="B36" s="76">
        <v>27</v>
      </c>
      <c r="C36" s="74" t="s">
        <v>128</v>
      </c>
      <c r="D36" s="75" t="s">
        <v>130</v>
      </c>
      <c r="E36" s="78" t="s">
        <v>162</v>
      </c>
      <c r="F36" s="84">
        <v>1</v>
      </c>
      <c r="G36" s="91"/>
      <c r="H36" s="94"/>
      <c r="I36" s="91"/>
      <c r="J36" s="66">
        <v>309400</v>
      </c>
      <c r="K36" s="66"/>
      <c r="L36" s="67"/>
      <c r="M36" s="64">
        <f>309400*1.00338</f>
        <v>310445.772</v>
      </c>
      <c r="N36" s="66">
        <f>283067*1.051</f>
        <v>297503.41699999996</v>
      </c>
      <c r="O36" s="86">
        <f>339076*1.0515</f>
        <v>356538.41400000005</v>
      </c>
      <c r="P36" s="85">
        <f t="shared" si="7"/>
        <v>4</v>
      </c>
      <c r="Q36" s="58">
        <f t="shared" si="8"/>
        <v>318472</v>
      </c>
      <c r="R36" s="59">
        <f t="shared" si="9"/>
        <v>318472</v>
      </c>
      <c r="S36" s="60">
        <f t="shared" si="10"/>
        <v>22558.007822699416</v>
      </c>
      <c r="T36" s="62">
        <f t="shared" si="4"/>
        <v>7.0831997232721919</v>
      </c>
      <c r="U36" s="62">
        <f t="shared" si="5"/>
        <v>92.916800276727813</v>
      </c>
      <c r="V36" s="63" t="str">
        <f t="shared" si="6"/>
        <v>ALTO</v>
      </c>
    </row>
    <row r="37" spans="2:22">
      <c r="B37" s="73">
        <v>28</v>
      </c>
      <c r="C37" s="74" t="s">
        <v>128</v>
      </c>
      <c r="D37" s="75" t="s">
        <v>131</v>
      </c>
      <c r="E37" s="78" t="s">
        <v>162</v>
      </c>
      <c r="F37" s="84">
        <v>1</v>
      </c>
      <c r="G37" s="91"/>
      <c r="H37" s="94"/>
      <c r="I37" s="91"/>
      <c r="J37" s="66">
        <v>535500</v>
      </c>
      <c r="K37" s="66"/>
      <c r="L37" s="67"/>
      <c r="M37" s="64">
        <f>547400*1.00338</f>
        <v>549250.21199999994</v>
      </c>
      <c r="N37" s="66">
        <f>600868*1.051</f>
        <v>631512.26799999992</v>
      </c>
      <c r="O37" s="86">
        <f>529627*1.0515</f>
        <v>556902.7905</v>
      </c>
      <c r="P37" s="85">
        <f t="shared" si="7"/>
        <v>4</v>
      </c>
      <c r="Q37" s="58">
        <f t="shared" si="8"/>
        <v>568291</v>
      </c>
      <c r="R37" s="59">
        <f t="shared" si="9"/>
        <v>568291</v>
      </c>
      <c r="S37" s="60">
        <f t="shared" si="10"/>
        <v>37297.524486891576</v>
      </c>
      <c r="T37" s="62">
        <f t="shared" si="4"/>
        <v>6.563103143792806</v>
      </c>
      <c r="U37" s="62">
        <f t="shared" si="5"/>
        <v>93.436896856207198</v>
      </c>
      <c r="V37" s="63" t="str">
        <f t="shared" si="6"/>
        <v>ALTO</v>
      </c>
    </row>
    <row r="38" spans="2:22">
      <c r="B38" s="73">
        <v>29</v>
      </c>
      <c r="C38" s="74" t="s">
        <v>128</v>
      </c>
      <c r="D38" s="75" t="s">
        <v>132</v>
      </c>
      <c r="E38" s="78" t="s">
        <v>162</v>
      </c>
      <c r="F38" s="84">
        <v>1</v>
      </c>
      <c r="G38" s="91"/>
      <c r="H38" s="94"/>
      <c r="I38" s="66">
        <v>1030778</v>
      </c>
      <c r="J38" s="66">
        <v>1785000</v>
      </c>
      <c r="K38" s="66"/>
      <c r="L38" s="67"/>
      <c r="M38" s="64">
        <f>1666000*1.00338</f>
        <v>1671631.0799999998</v>
      </c>
      <c r="N38" s="66"/>
      <c r="O38" s="86"/>
      <c r="P38" s="85">
        <f t="shared" si="7"/>
        <v>3</v>
      </c>
      <c r="Q38" s="58">
        <f t="shared" si="8"/>
        <v>1495803</v>
      </c>
      <c r="R38" s="59">
        <f t="shared" si="9"/>
        <v>1495803</v>
      </c>
      <c r="S38" s="60">
        <f t="shared" si="10"/>
        <v>332063.58284244518</v>
      </c>
      <c r="T38" s="62">
        <f t="shared" si="4"/>
        <v>22.199686913480264</v>
      </c>
      <c r="U38" s="62">
        <f t="shared" si="5"/>
        <v>77.800313086519736</v>
      </c>
      <c r="V38" s="63" t="str">
        <f t="shared" si="6"/>
        <v>ALTO</v>
      </c>
    </row>
    <row r="39" spans="2:22">
      <c r="B39" s="73">
        <v>30</v>
      </c>
      <c r="C39" s="74" t="s">
        <v>128</v>
      </c>
      <c r="D39" s="75" t="s">
        <v>133</v>
      </c>
      <c r="E39" s="78" t="s">
        <v>162</v>
      </c>
      <c r="F39" s="84">
        <v>1</v>
      </c>
      <c r="G39" s="91"/>
      <c r="H39" s="94"/>
      <c r="I39" s="91"/>
      <c r="J39" s="66">
        <v>2856000</v>
      </c>
      <c r="K39" s="66"/>
      <c r="L39" s="67"/>
      <c r="M39" s="64">
        <f>2737000*1.00338</f>
        <v>2746251.06</v>
      </c>
      <c r="N39" s="66"/>
      <c r="O39" s="86"/>
      <c r="P39" s="85">
        <f t="shared" si="7"/>
        <v>2</v>
      </c>
      <c r="Q39" s="58">
        <f t="shared" si="8"/>
        <v>2801126</v>
      </c>
      <c r="R39" s="59">
        <f t="shared" si="9"/>
        <v>2801126</v>
      </c>
      <c r="S39" s="60">
        <f t="shared" si="10"/>
        <v>54874.469999999972</v>
      </c>
      <c r="T39" s="62">
        <f t="shared" si="4"/>
        <v>1.9590146962328709</v>
      </c>
      <c r="U39" s="62">
        <f t="shared" si="5"/>
        <v>98.04098530376713</v>
      </c>
      <c r="V39" s="63" t="str">
        <f t="shared" si="6"/>
        <v>ALTO</v>
      </c>
    </row>
    <row r="40" spans="2:22">
      <c r="B40" s="76">
        <v>31</v>
      </c>
      <c r="C40" s="74" t="s">
        <v>134</v>
      </c>
      <c r="D40" s="75" t="s">
        <v>135</v>
      </c>
      <c r="E40" s="78" t="s">
        <v>162</v>
      </c>
      <c r="F40" s="84">
        <v>1</v>
      </c>
      <c r="G40" s="91"/>
      <c r="H40" s="65">
        <v>666400</v>
      </c>
      <c r="I40" s="91"/>
      <c r="J40" s="66">
        <v>606900</v>
      </c>
      <c r="K40" s="66"/>
      <c r="L40" s="67"/>
      <c r="M40" s="64">
        <f>595000*1.00338</f>
        <v>597011.1</v>
      </c>
      <c r="N40" s="66">
        <f>521535*1.051</f>
        <v>548133.28499999992</v>
      </c>
      <c r="O40" s="86">
        <f>682720*1.0515</f>
        <v>717880.08000000007</v>
      </c>
      <c r="P40" s="85">
        <f t="shared" si="7"/>
        <v>5</v>
      </c>
      <c r="Q40" s="58">
        <f t="shared" si="8"/>
        <v>627265</v>
      </c>
      <c r="R40" s="59">
        <f t="shared" si="9"/>
        <v>627265</v>
      </c>
      <c r="S40" s="60">
        <f t="shared" si="10"/>
        <v>58880.388852996555</v>
      </c>
      <c r="T40" s="62">
        <f t="shared" si="4"/>
        <v>9.3868442927624773</v>
      </c>
      <c r="U40" s="62">
        <f t="shared" si="5"/>
        <v>90.613155707237524</v>
      </c>
      <c r="V40" s="63" t="str">
        <f t="shared" si="6"/>
        <v>ALTO</v>
      </c>
    </row>
    <row r="41" spans="2:22">
      <c r="B41" s="73">
        <v>32</v>
      </c>
      <c r="C41" s="74" t="s">
        <v>134</v>
      </c>
      <c r="D41" s="75" t="s">
        <v>136</v>
      </c>
      <c r="E41" s="78" t="s">
        <v>162</v>
      </c>
      <c r="F41" s="84">
        <v>1</v>
      </c>
      <c r="G41" s="91"/>
      <c r="H41" s="94"/>
      <c r="I41" s="66">
        <v>435540</v>
      </c>
      <c r="J41" s="66">
        <v>535500</v>
      </c>
      <c r="K41" s="66"/>
      <c r="L41" s="67"/>
      <c r="M41" s="64">
        <f>595000*1.00338</f>
        <v>597011.1</v>
      </c>
      <c r="N41" s="66">
        <f>547387*1.051</f>
        <v>575303.73699999996</v>
      </c>
      <c r="O41" s="86">
        <f>586922*1.0515</f>
        <v>617148.48300000001</v>
      </c>
      <c r="P41" s="85">
        <f t="shared" si="7"/>
        <v>5</v>
      </c>
      <c r="Q41" s="58">
        <f t="shared" si="8"/>
        <v>552101</v>
      </c>
      <c r="R41" s="59">
        <f t="shared" si="9"/>
        <v>552101</v>
      </c>
      <c r="S41" s="60">
        <f t="shared" si="10"/>
        <v>64262.771574794824</v>
      </c>
      <c r="T41" s="62">
        <f t="shared" si="4"/>
        <v>11.639676721251153</v>
      </c>
      <c r="U41" s="62">
        <f t="shared" si="5"/>
        <v>88.360323278748851</v>
      </c>
      <c r="V41" s="63" t="str">
        <f t="shared" si="6"/>
        <v>ALTO</v>
      </c>
    </row>
    <row r="42" spans="2:22">
      <c r="B42" s="73">
        <v>33</v>
      </c>
      <c r="C42" s="74" t="s">
        <v>134</v>
      </c>
      <c r="D42" s="75" t="s">
        <v>137</v>
      </c>
      <c r="E42" s="78" t="s">
        <v>162</v>
      </c>
      <c r="F42" s="84">
        <v>1</v>
      </c>
      <c r="G42" s="91"/>
      <c r="H42" s="94"/>
      <c r="I42" s="91"/>
      <c r="J42" s="66">
        <v>1428000</v>
      </c>
      <c r="K42" s="66"/>
      <c r="L42" s="67"/>
      <c r="M42" s="64">
        <f>1309000*1.00338</f>
        <v>1313424.42</v>
      </c>
      <c r="N42" s="66">
        <f>1020779*1.051</f>
        <v>1072838.7289999998</v>
      </c>
      <c r="O42" s="86">
        <f>1048942*1.0515</f>
        <v>1102962.513</v>
      </c>
      <c r="P42" s="85">
        <f t="shared" si="7"/>
        <v>4</v>
      </c>
      <c r="Q42" s="58">
        <f t="shared" si="8"/>
        <v>1229306</v>
      </c>
      <c r="R42" s="59">
        <f t="shared" si="9"/>
        <v>1229306</v>
      </c>
      <c r="S42" s="60">
        <f t="shared" si="10"/>
        <v>147478.72543193583</v>
      </c>
      <c r="T42" s="62">
        <f t="shared" si="4"/>
        <v>11.996909266849412</v>
      </c>
      <c r="U42" s="62">
        <f t="shared" si="5"/>
        <v>88.003090733150586</v>
      </c>
      <c r="V42" s="63" t="str">
        <f t="shared" si="6"/>
        <v>ALTO</v>
      </c>
    </row>
    <row r="43" spans="2:22">
      <c r="B43" s="76">
        <v>34</v>
      </c>
      <c r="C43" s="74" t="s">
        <v>134</v>
      </c>
      <c r="D43" s="75" t="s">
        <v>138</v>
      </c>
      <c r="E43" s="78" t="s">
        <v>162</v>
      </c>
      <c r="F43" s="84">
        <v>1</v>
      </c>
      <c r="G43" s="91"/>
      <c r="H43" s="94"/>
      <c r="I43" s="91"/>
      <c r="J43" s="66">
        <v>1570800</v>
      </c>
      <c r="K43" s="66"/>
      <c r="L43" s="67"/>
      <c r="M43" s="64">
        <f>1428000*1.00338</f>
        <v>1432826.64</v>
      </c>
      <c r="N43" s="66">
        <f>1539794*1.051</f>
        <v>1618323.4939999999</v>
      </c>
      <c r="O43" s="86">
        <f>1566170*1.0515</f>
        <v>1646827.7550000001</v>
      </c>
      <c r="P43" s="85">
        <f t="shared" si="7"/>
        <v>4</v>
      </c>
      <c r="Q43" s="58">
        <f t="shared" si="8"/>
        <v>1567194</v>
      </c>
      <c r="R43" s="59">
        <f t="shared" si="9"/>
        <v>1567194</v>
      </c>
      <c r="S43" s="60">
        <f t="shared" si="10"/>
        <v>82193.902998600854</v>
      </c>
      <c r="T43" s="62">
        <f t="shared" si="4"/>
        <v>5.2446540121134237</v>
      </c>
      <c r="U43" s="62">
        <f t="shared" si="5"/>
        <v>94.755345987886571</v>
      </c>
      <c r="V43" s="63" t="str">
        <f t="shared" si="6"/>
        <v>ALTO</v>
      </c>
    </row>
    <row r="44" spans="2:22">
      <c r="B44" s="73">
        <v>35</v>
      </c>
      <c r="C44" s="74" t="s">
        <v>139</v>
      </c>
      <c r="D44" s="75" t="s">
        <v>140</v>
      </c>
      <c r="E44" s="78" t="s">
        <v>163</v>
      </c>
      <c r="F44" s="84">
        <v>1</v>
      </c>
      <c r="G44" s="91"/>
      <c r="H44" s="65">
        <v>642600</v>
      </c>
      <c r="I44" s="66">
        <v>508130</v>
      </c>
      <c r="J44" s="66">
        <v>452200</v>
      </c>
      <c r="K44" s="66"/>
      <c r="L44" s="67"/>
      <c r="M44" s="64">
        <f>452200*1.00338</f>
        <v>453728.43599999999</v>
      </c>
      <c r="N44" s="66">
        <f>571620*1.051</f>
        <v>600772.62</v>
      </c>
      <c r="O44" s="86">
        <f>622031*1.0515</f>
        <v>654065.5965000001</v>
      </c>
      <c r="P44" s="85">
        <f t="shared" si="7"/>
        <v>6</v>
      </c>
      <c r="Q44" s="58">
        <f t="shared" si="8"/>
        <v>551916</v>
      </c>
      <c r="R44" s="59">
        <f t="shared" si="9"/>
        <v>551916</v>
      </c>
      <c r="S44" s="60">
        <f t="shared" si="10"/>
        <v>84208.460991280881</v>
      </c>
      <c r="T44" s="62">
        <f t="shared" si="4"/>
        <v>15.257477766776265</v>
      </c>
      <c r="U44" s="62">
        <f t="shared" si="5"/>
        <v>84.742522233223738</v>
      </c>
      <c r="V44" s="63" t="str">
        <f t="shared" si="6"/>
        <v>ALTO</v>
      </c>
    </row>
    <row r="45" spans="2:22" ht="28">
      <c r="B45" s="73">
        <v>36</v>
      </c>
      <c r="C45" s="74" t="s">
        <v>141</v>
      </c>
      <c r="D45" s="75" t="s">
        <v>142</v>
      </c>
      <c r="E45" s="78" t="s">
        <v>163</v>
      </c>
      <c r="F45" s="84">
        <v>1</v>
      </c>
      <c r="G45" s="91"/>
      <c r="H45" s="94"/>
      <c r="I45" s="91"/>
      <c r="J45" s="66">
        <v>190400</v>
      </c>
      <c r="K45" s="66"/>
      <c r="L45" s="67"/>
      <c r="M45" s="64">
        <f>178500*1.00338</f>
        <v>179103.33</v>
      </c>
      <c r="N45" s="66">
        <f>210269*1.051</f>
        <v>220992.71899999998</v>
      </c>
      <c r="O45" s="86">
        <f>273558*1.0515</f>
        <v>287646.23700000002</v>
      </c>
      <c r="P45" s="85">
        <f t="shared" si="7"/>
        <v>4</v>
      </c>
      <c r="Q45" s="58">
        <f t="shared" si="8"/>
        <v>219536</v>
      </c>
      <c r="R45" s="59">
        <f t="shared" si="9"/>
        <v>219536</v>
      </c>
      <c r="S45" s="60">
        <f t="shared" si="10"/>
        <v>42204.365037978132</v>
      </c>
      <c r="T45" s="62">
        <f t="shared" si="4"/>
        <v>19.224348187986539</v>
      </c>
      <c r="U45" s="62">
        <f t="shared" si="5"/>
        <v>80.775651812013464</v>
      </c>
      <c r="V45" s="63" t="str">
        <f t="shared" si="6"/>
        <v>ALTO</v>
      </c>
    </row>
    <row r="46" spans="2:22">
      <c r="B46" s="73">
        <v>37</v>
      </c>
      <c r="C46" s="74" t="s">
        <v>143</v>
      </c>
      <c r="D46" s="75" t="s">
        <v>144</v>
      </c>
      <c r="E46" s="78" t="s">
        <v>163</v>
      </c>
      <c r="F46" s="84">
        <v>1</v>
      </c>
      <c r="G46" s="91"/>
      <c r="H46" s="94"/>
      <c r="I46" s="91"/>
      <c r="J46" s="66">
        <v>190400</v>
      </c>
      <c r="K46" s="66"/>
      <c r="L46" s="67"/>
      <c r="M46" s="64">
        <f>178500*1.00338</f>
        <v>179103.33</v>
      </c>
      <c r="N46" s="66">
        <f>231415*1.051</f>
        <v>243217.16499999998</v>
      </c>
      <c r="O46" s="86">
        <f>342730*1.0515</f>
        <v>360380.59500000003</v>
      </c>
      <c r="P46" s="85">
        <f t="shared" si="7"/>
        <v>4</v>
      </c>
      <c r="Q46" s="58">
        <f t="shared" si="8"/>
        <v>243275</v>
      </c>
      <c r="R46" s="59">
        <f t="shared" si="9"/>
        <v>243275</v>
      </c>
      <c r="S46" s="60">
        <f t="shared" si="10"/>
        <v>71811.371976315815</v>
      </c>
      <c r="T46" s="62">
        <f t="shared" si="4"/>
        <v>29.518599106490935</v>
      </c>
      <c r="U46" s="62">
        <f t="shared" si="5"/>
        <v>70.481400893509061</v>
      </c>
      <c r="V46" s="63" t="str">
        <f t="shared" si="6"/>
        <v>ALTO</v>
      </c>
    </row>
    <row r="47" spans="2:22">
      <c r="B47" s="76">
        <v>38</v>
      </c>
      <c r="C47" s="74" t="s">
        <v>145</v>
      </c>
      <c r="D47" s="75" t="s">
        <v>146</v>
      </c>
      <c r="E47" s="78" t="s">
        <v>163</v>
      </c>
      <c r="F47" s="84">
        <v>1</v>
      </c>
      <c r="G47" s="91"/>
      <c r="H47" s="65">
        <v>142800</v>
      </c>
      <c r="I47" s="91"/>
      <c r="J47" s="66"/>
      <c r="K47" s="66"/>
      <c r="L47" s="67"/>
      <c r="M47" s="64">
        <f>238000*1.00338</f>
        <v>238804.43999999997</v>
      </c>
      <c r="N47" s="66">
        <f>167915*1.051</f>
        <v>176478.66499999998</v>
      </c>
      <c r="O47" s="86"/>
      <c r="P47" s="85">
        <f t="shared" si="7"/>
        <v>3</v>
      </c>
      <c r="Q47" s="58">
        <f t="shared" si="8"/>
        <v>186028</v>
      </c>
      <c r="R47" s="59">
        <f t="shared" si="9"/>
        <v>186028</v>
      </c>
      <c r="S47" s="60">
        <f t="shared" si="10"/>
        <v>39771.02128329462</v>
      </c>
      <c r="T47" s="62">
        <f t="shared" si="4"/>
        <v>21.379051155360816</v>
      </c>
      <c r="U47" s="62">
        <f t="shared" si="5"/>
        <v>78.620948844639187</v>
      </c>
      <c r="V47" s="63" t="str">
        <f t="shared" si="6"/>
        <v>ALTO</v>
      </c>
    </row>
    <row r="48" spans="2:22" ht="28">
      <c r="B48" s="73">
        <v>39</v>
      </c>
      <c r="C48" s="74" t="s">
        <v>147</v>
      </c>
      <c r="D48" s="75" t="s">
        <v>148</v>
      </c>
      <c r="E48" s="78" t="s">
        <v>162</v>
      </c>
      <c r="F48" s="84">
        <v>1</v>
      </c>
      <c r="G48" s="91"/>
      <c r="H48" s="94"/>
      <c r="I48" s="91"/>
      <c r="J48" s="66">
        <v>1618400</v>
      </c>
      <c r="K48" s="66"/>
      <c r="L48" s="67"/>
      <c r="M48" s="64">
        <f>1428000*1.00338</f>
        <v>1432826.64</v>
      </c>
      <c r="N48" s="66">
        <f>1690467*1.051</f>
        <v>1776680.8169999998</v>
      </c>
      <c r="O48" s="86">
        <f>1827198*1.0515</f>
        <v>1921298.6970000002</v>
      </c>
      <c r="P48" s="85">
        <f t="shared" si="7"/>
        <v>4</v>
      </c>
      <c r="Q48" s="58">
        <f t="shared" si="8"/>
        <v>1687302</v>
      </c>
      <c r="R48" s="59">
        <f t="shared" si="9"/>
        <v>1687302</v>
      </c>
      <c r="S48" s="60">
        <f t="shared" si="10"/>
        <v>181829.74288156885</v>
      </c>
      <c r="T48" s="62">
        <f t="shared" si="4"/>
        <v>10.776360300738625</v>
      </c>
      <c r="U48" s="62">
        <f t="shared" si="5"/>
        <v>89.223639699261369</v>
      </c>
      <c r="V48" s="63" t="str">
        <f t="shared" si="6"/>
        <v>ALTO</v>
      </c>
    </row>
    <row r="49" spans="1:23" ht="28">
      <c r="B49" s="73">
        <v>40</v>
      </c>
      <c r="C49" s="74" t="s">
        <v>147</v>
      </c>
      <c r="D49" s="75" t="s">
        <v>149</v>
      </c>
      <c r="E49" s="78" t="s">
        <v>162</v>
      </c>
      <c r="F49" s="84">
        <v>1</v>
      </c>
      <c r="G49" s="91"/>
      <c r="H49" s="94"/>
      <c r="I49" s="91"/>
      <c r="J49" s="66">
        <v>809200</v>
      </c>
      <c r="K49" s="66"/>
      <c r="L49" s="67"/>
      <c r="M49" s="64">
        <f>833000*1.00338</f>
        <v>835815.53999999992</v>
      </c>
      <c r="N49" s="66">
        <f>883083*1.051</f>
        <v>928120.23299999989</v>
      </c>
      <c r="O49" s="86">
        <f>1061994*1.0515</f>
        <v>1116686.6910000001</v>
      </c>
      <c r="P49" s="85">
        <f t="shared" si="7"/>
        <v>4</v>
      </c>
      <c r="Q49" s="58">
        <f t="shared" si="8"/>
        <v>922456</v>
      </c>
      <c r="R49" s="59">
        <f t="shared" si="9"/>
        <v>922456</v>
      </c>
      <c r="S49" s="60">
        <f t="shared" si="10"/>
        <v>120510.51375941987</v>
      </c>
      <c r="T49" s="62">
        <f t="shared" si="4"/>
        <v>13.064093437456082</v>
      </c>
      <c r="U49" s="62">
        <f t="shared" si="5"/>
        <v>86.93590656254392</v>
      </c>
      <c r="V49" s="63" t="str">
        <f t="shared" si="6"/>
        <v>ALTO</v>
      </c>
    </row>
    <row r="50" spans="1:23" ht="140">
      <c r="B50" s="76">
        <v>41</v>
      </c>
      <c r="C50" s="74" t="s">
        <v>150</v>
      </c>
      <c r="D50" s="75" t="s">
        <v>151</v>
      </c>
      <c r="E50" s="78" t="s">
        <v>162</v>
      </c>
      <c r="F50" s="84">
        <v>1</v>
      </c>
      <c r="G50" s="91"/>
      <c r="H50" s="94"/>
      <c r="I50" s="91"/>
      <c r="J50" s="66">
        <v>15984</v>
      </c>
      <c r="K50" s="66"/>
      <c r="L50" s="67"/>
      <c r="M50" s="64">
        <f>15470*1.00338</f>
        <v>15522.2886</v>
      </c>
      <c r="N50" s="66">
        <f>15388*1.051</f>
        <v>16172.787999999999</v>
      </c>
      <c r="O50" s="86">
        <f>20752*1.0515</f>
        <v>21820.728000000003</v>
      </c>
      <c r="P50" s="85">
        <f t="shared" si="7"/>
        <v>4</v>
      </c>
      <c r="Q50" s="58">
        <f t="shared" si="8"/>
        <v>17375</v>
      </c>
      <c r="R50" s="59">
        <f t="shared" si="9"/>
        <v>17375</v>
      </c>
      <c r="S50" s="60">
        <f t="shared" si="10"/>
        <v>2577.6555076790555</v>
      </c>
      <c r="T50" s="62">
        <f t="shared" si="4"/>
        <v>14.8354273823255</v>
      </c>
      <c r="U50" s="62">
        <f t="shared" si="5"/>
        <v>85.164572617674494</v>
      </c>
      <c r="V50" s="63" t="str">
        <f t="shared" si="6"/>
        <v>ALTO</v>
      </c>
    </row>
    <row r="51" spans="1:23" ht="140">
      <c r="B51" s="73">
        <v>42</v>
      </c>
      <c r="C51" s="74" t="s">
        <v>152</v>
      </c>
      <c r="D51" s="75" t="s">
        <v>153</v>
      </c>
      <c r="E51" s="78" t="s">
        <v>162</v>
      </c>
      <c r="F51" s="84">
        <v>1</v>
      </c>
      <c r="G51" s="91"/>
      <c r="H51" s="94"/>
      <c r="I51" s="91"/>
      <c r="J51" s="66">
        <v>15984</v>
      </c>
      <c r="K51" s="66"/>
      <c r="L51" s="67"/>
      <c r="M51" s="64">
        <f>15470*1.00338</f>
        <v>15522.2886</v>
      </c>
      <c r="N51" s="66">
        <f>15196*1.051</f>
        <v>15970.995999999999</v>
      </c>
      <c r="O51" s="86">
        <f>18141*1.0515</f>
        <v>19075.261500000001</v>
      </c>
      <c r="P51" s="85">
        <f t="shared" si="7"/>
        <v>4</v>
      </c>
      <c r="Q51" s="58">
        <f t="shared" si="8"/>
        <v>16638</v>
      </c>
      <c r="R51" s="59">
        <f t="shared" si="9"/>
        <v>16638</v>
      </c>
      <c r="S51" s="60">
        <f t="shared" si="10"/>
        <v>1419.301395839861</v>
      </c>
      <c r="T51" s="62">
        <f t="shared" si="4"/>
        <v>8.5304808020186371</v>
      </c>
      <c r="U51" s="62">
        <f t="shared" si="5"/>
        <v>91.469519197981356</v>
      </c>
      <c r="V51" s="63" t="str">
        <f t="shared" si="6"/>
        <v>ALTO</v>
      </c>
    </row>
    <row r="52" spans="1:23" ht="182">
      <c r="B52" s="73">
        <v>43</v>
      </c>
      <c r="C52" s="74" t="s">
        <v>154</v>
      </c>
      <c r="D52" s="75" t="s">
        <v>155</v>
      </c>
      <c r="E52" s="78" t="s">
        <v>162</v>
      </c>
      <c r="F52" s="84">
        <v>1</v>
      </c>
      <c r="G52" s="91"/>
      <c r="H52" s="94"/>
      <c r="I52" s="91"/>
      <c r="J52" s="66">
        <v>275400</v>
      </c>
      <c r="K52" s="66"/>
      <c r="L52" s="67"/>
      <c r="M52" s="64">
        <f>261800*1.00338</f>
        <v>262684.88399999996</v>
      </c>
      <c r="N52" s="66">
        <f>290081*1.051</f>
        <v>304875.13099999999</v>
      </c>
      <c r="O52" s="86">
        <f>378100*1.0515</f>
        <v>397572.15</v>
      </c>
      <c r="P52" s="85">
        <f t="shared" si="7"/>
        <v>4</v>
      </c>
      <c r="Q52" s="58">
        <f t="shared" si="8"/>
        <v>310133</v>
      </c>
      <c r="R52" s="59">
        <f t="shared" si="9"/>
        <v>310133</v>
      </c>
      <c r="S52" s="60">
        <f t="shared" si="10"/>
        <v>52751.670921607554</v>
      </c>
      <c r="T52" s="62">
        <f t="shared" si="4"/>
        <v>17.009370470606981</v>
      </c>
      <c r="U52" s="62">
        <f t="shared" si="5"/>
        <v>82.990629529393019</v>
      </c>
      <c r="V52" s="63" t="str">
        <f t="shared" si="6"/>
        <v>ALTO</v>
      </c>
    </row>
    <row r="53" spans="1:23" ht="154">
      <c r="B53" s="73">
        <v>44</v>
      </c>
      <c r="C53" s="74" t="s">
        <v>154</v>
      </c>
      <c r="D53" s="75" t="s">
        <v>156</v>
      </c>
      <c r="E53" s="78" t="s">
        <v>162</v>
      </c>
      <c r="F53" s="84">
        <v>1</v>
      </c>
      <c r="G53" s="91"/>
      <c r="H53" s="65">
        <v>904400</v>
      </c>
      <c r="I53" s="91"/>
      <c r="J53" s="66">
        <v>918000</v>
      </c>
      <c r="K53" s="66"/>
      <c r="L53" s="67"/>
      <c r="M53" s="64">
        <f>833000*1.00338</f>
        <v>835815.53999999992</v>
      </c>
      <c r="N53" s="66">
        <f>749379*1.051</f>
        <v>787597.32899999991</v>
      </c>
      <c r="O53" s="86">
        <f>961889*1.0515</f>
        <v>1011426.2835000001</v>
      </c>
      <c r="P53" s="85">
        <f t="shared" si="7"/>
        <v>5</v>
      </c>
      <c r="Q53" s="58">
        <f t="shared" si="8"/>
        <v>891448</v>
      </c>
      <c r="R53" s="59">
        <f t="shared" si="9"/>
        <v>891448</v>
      </c>
      <c r="S53" s="60">
        <f t="shared" si="10"/>
        <v>76351.14143516733</v>
      </c>
      <c r="T53" s="62">
        <f t="shared" si="4"/>
        <v>8.5648452220620079</v>
      </c>
      <c r="U53" s="62">
        <f t="shared" si="5"/>
        <v>91.435154777937996</v>
      </c>
      <c r="V53" s="63" t="str">
        <f t="shared" si="6"/>
        <v>ALTO</v>
      </c>
    </row>
    <row r="54" spans="1:23" ht="154">
      <c r="B54" s="76">
        <v>45</v>
      </c>
      <c r="C54" s="74" t="s">
        <v>154</v>
      </c>
      <c r="D54" s="75" t="s">
        <v>157</v>
      </c>
      <c r="E54" s="78" t="s">
        <v>162</v>
      </c>
      <c r="F54" s="84">
        <v>1</v>
      </c>
      <c r="G54" s="91"/>
      <c r="H54" s="65">
        <v>1785000</v>
      </c>
      <c r="I54" s="91"/>
      <c r="J54" s="66">
        <v>1209600</v>
      </c>
      <c r="K54" s="66"/>
      <c r="L54" s="67"/>
      <c r="M54" s="64">
        <f>1071000*1.00338</f>
        <v>1074619.98</v>
      </c>
      <c r="N54" s="66">
        <f>964050*1.051</f>
        <v>1013216.5499999999</v>
      </c>
      <c r="O54" s="86">
        <f>1044113*1.0515</f>
        <v>1097884.8195000002</v>
      </c>
      <c r="P54" s="85">
        <f t="shared" si="7"/>
        <v>5</v>
      </c>
      <c r="Q54" s="58">
        <f t="shared" si="8"/>
        <v>1236064</v>
      </c>
      <c r="R54" s="59">
        <f t="shared" si="9"/>
        <v>1236064</v>
      </c>
      <c r="S54" s="60">
        <f t="shared" si="10"/>
        <v>281726.71825034573</v>
      </c>
      <c r="T54" s="62">
        <f t="shared" si="4"/>
        <v>22.792243625762559</v>
      </c>
      <c r="U54" s="62">
        <f t="shared" si="5"/>
        <v>77.207756374237448</v>
      </c>
      <c r="V54" s="63" t="str">
        <f t="shared" si="6"/>
        <v>ALTO</v>
      </c>
    </row>
    <row r="55" spans="1:23" ht="126">
      <c r="B55" s="73">
        <v>46</v>
      </c>
      <c r="C55" s="74" t="s">
        <v>158</v>
      </c>
      <c r="D55" s="75" t="s">
        <v>159</v>
      </c>
      <c r="E55" s="78" t="s">
        <v>162</v>
      </c>
      <c r="F55" s="84">
        <v>1</v>
      </c>
      <c r="G55" s="91"/>
      <c r="H55" s="94"/>
      <c r="I55" s="91"/>
      <c r="J55" s="66">
        <v>29160</v>
      </c>
      <c r="K55" s="66"/>
      <c r="L55" s="67"/>
      <c r="M55" s="64">
        <f>26180*1.00338</f>
        <v>26268.488399999998</v>
      </c>
      <c r="N55" s="66">
        <f>28057*1.051</f>
        <v>29487.906999999999</v>
      </c>
      <c r="O55" s="86">
        <f>33673*1.0515</f>
        <v>35407.159500000002</v>
      </c>
      <c r="P55" s="85">
        <f t="shared" si="7"/>
        <v>4</v>
      </c>
      <c r="Q55" s="58">
        <f t="shared" si="8"/>
        <v>30081</v>
      </c>
      <c r="R55" s="59">
        <f t="shared" si="9"/>
        <v>30081</v>
      </c>
      <c r="S55" s="60">
        <f t="shared" si="10"/>
        <v>3320.5127607304335</v>
      </c>
      <c r="T55" s="62">
        <f t="shared" si="4"/>
        <v>11.03857172544275</v>
      </c>
      <c r="U55" s="62">
        <f t="shared" si="5"/>
        <v>88.96142827455725</v>
      </c>
      <c r="V55" s="63" t="str">
        <f t="shared" si="6"/>
        <v>ALTO</v>
      </c>
    </row>
    <row r="56" spans="1:23" ht="112.5" thickBot="1">
      <c r="B56" s="73">
        <v>47</v>
      </c>
      <c r="C56" s="74" t="s">
        <v>160</v>
      </c>
      <c r="D56" s="77" t="s">
        <v>161</v>
      </c>
      <c r="E56" s="78" t="s">
        <v>162</v>
      </c>
      <c r="F56" s="84">
        <v>1</v>
      </c>
      <c r="G56" s="110"/>
      <c r="H56" s="111"/>
      <c r="I56" s="110"/>
      <c r="J56" s="112">
        <v>53460</v>
      </c>
      <c r="K56" s="112"/>
      <c r="L56" s="113"/>
      <c r="M56" s="114">
        <f>47600*1.00338</f>
        <v>47760.887999999999</v>
      </c>
      <c r="N56" s="112">
        <f>52554*1.051</f>
        <v>55234.253999999994</v>
      </c>
      <c r="O56" s="115">
        <f>52075*1.0515</f>
        <v>54756.862500000003</v>
      </c>
      <c r="P56" s="126">
        <f t="shared" si="7"/>
        <v>4</v>
      </c>
      <c r="Q56" s="127">
        <f t="shared" si="8"/>
        <v>52803</v>
      </c>
      <c r="R56" s="128">
        <f t="shared" si="9"/>
        <v>52803</v>
      </c>
      <c r="S56" s="130">
        <f t="shared" si="10"/>
        <v>2982.5792991118101</v>
      </c>
      <c r="T56" s="131">
        <f t="shared" si="4"/>
        <v>5.6485034924375697</v>
      </c>
      <c r="U56" s="131">
        <f t="shared" si="5"/>
        <v>94.35149650756243</v>
      </c>
      <c r="V56" s="132" t="str">
        <f t="shared" si="6"/>
        <v>ALTO</v>
      </c>
    </row>
    <row r="57" spans="1:23" ht="57" customHeight="1" thickBot="1">
      <c r="B57" s="206"/>
      <c r="C57" s="207"/>
      <c r="D57" s="207"/>
      <c r="E57" s="207"/>
      <c r="F57" s="207"/>
      <c r="G57" s="207"/>
      <c r="H57" s="207"/>
      <c r="I57" s="207"/>
      <c r="J57" s="207"/>
      <c r="K57" s="207"/>
      <c r="L57" s="207"/>
      <c r="M57" s="207"/>
      <c r="N57" s="207"/>
      <c r="O57" s="208"/>
      <c r="P57" s="203" t="s">
        <v>73</v>
      </c>
      <c r="Q57" s="204"/>
      <c r="R57" s="129">
        <f>SUM(R10:R56)</f>
        <v>51832787</v>
      </c>
      <c r="S57" s="209"/>
      <c r="T57" s="210"/>
      <c r="U57" s="210"/>
      <c r="V57" s="211"/>
    </row>
    <row r="58" spans="1:23" ht="51.75" customHeight="1">
      <c r="C58" s="205" t="s">
        <v>82</v>
      </c>
      <c r="D58" s="205"/>
      <c r="E58" s="205"/>
      <c r="F58" s="205"/>
      <c r="G58" s="205"/>
      <c r="H58" s="205"/>
      <c r="I58" s="205"/>
      <c r="J58" s="205"/>
      <c r="K58" s="205"/>
      <c r="L58" s="205"/>
      <c r="M58" s="205"/>
      <c r="N58" s="205"/>
      <c r="O58" s="205"/>
      <c r="P58" s="196"/>
      <c r="Q58" s="196"/>
      <c r="R58" s="196"/>
      <c r="S58" s="196"/>
      <c r="T58" s="196"/>
      <c r="U58" s="196"/>
      <c r="V58" s="196"/>
    </row>
    <row r="59" spans="1:23" ht="19.5" customHeight="1">
      <c r="C59" s="197" t="s">
        <v>175</v>
      </c>
      <c r="D59" s="197"/>
      <c r="E59" s="197"/>
      <c r="F59" s="197"/>
      <c r="G59" s="197"/>
      <c r="H59" s="197"/>
      <c r="I59" s="197"/>
      <c r="J59" s="197"/>
      <c r="K59" s="69"/>
      <c r="L59" s="69"/>
      <c r="M59" s="82"/>
      <c r="N59" s="69"/>
      <c r="O59" s="69"/>
      <c r="P59" s="69"/>
      <c r="Q59" s="69"/>
      <c r="R59" s="69"/>
      <c r="S59" s="69"/>
      <c r="T59" s="69"/>
      <c r="U59" s="69"/>
      <c r="V59" s="69"/>
    </row>
    <row r="60" spans="1:23" s="42" customFormat="1">
      <c r="B60" s="40"/>
      <c r="C60" s="70" t="s">
        <v>176</v>
      </c>
      <c r="D60" s="71"/>
      <c r="E60" s="40"/>
      <c r="F60" s="40"/>
      <c r="G60" s="72"/>
      <c r="H60" s="72"/>
      <c r="I60" s="72"/>
      <c r="J60" s="72"/>
      <c r="K60" s="72"/>
      <c r="L60" s="72"/>
      <c r="M60" s="79"/>
      <c r="N60" s="40"/>
      <c r="O60" s="40"/>
      <c r="P60" s="40"/>
      <c r="Q60" s="40"/>
      <c r="R60" s="40"/>
      <c r="S60" s="40"/>
      <c r="T60" s="40"/>
      <c r="U60" s="40"/>
      <c r="V60" s="40"/>
    </row>
    <row r="61" spans="1:23" s="42" customFormat="1">
      <c r="B61" s="40"/>
      <c r="C61" s="71"/>
      <c r="D61" s="71"/>
      <c r="E61" s="40"/>
      <c r="F61" s="40"/>
      <c r="G61" s="72"/>
      <c r="H61" s="72"/>
      <c r="I61" s="72"/>
      <c r="J61" s="72"/>
      <c r="K61" s="72"/>
      <c r="L61" s="72"/>
      <c r="M61" s="79"/>
      <c r="N61" s="40"/>
      <c r="O61" s="40"/>
      <c r="P61" s="40"/>
      <c r="Q61" s="40"/>
      <c r="R61" s="40"/>
      <c r="S61" s="40"/>
      <c r="T61" s="83"/>
      <c r="U61" s="83"/>
      <c r="V61" s="40"/>
    </row>
    <row r="62" spans="1:23" s="42" customFormat="1" ht="45" customHeight="1">
      <c r="A62" s="195"/>
      <c r="B62" s="195"/>
      <c r="C62" s="195"/>
      <c r="D62" s="195"/>
      <c r="E62" s="195"/>
      <c r="F62" s="195"/>
      <c r="G62" s="195"/>
      <c r="H62" s="195"/>
      <c r="I62" s="195"/>
      <c r="J62" s="195"/>
      <c r="K62" s="195"/>
      <c r="L62" s="195"/>
      <c r="M62" s="195"/>
      <c r="N62" s="195"/>
      <c r="O62" s="195"/>
      <c r="P62" s="195"/>
      <c r="Q62" s="195"/>
      <c r="R62" s="195"/>
      <c r="S62" s="195"/>
      <c r="T62" s="195"/>
      <c r="U62" s="195"/>
      <c r="V62" s="195"/>
      <c r="W62" s="195"/>
    </row>
    <row r="63" spans="1:23" s="42" customFormat="1">
      <c r="B63" s="40"/>
      <c r="C63" s="71"/>
      <c r="D63" s="71"/>
      <c r="E63" s="40"/>
      <c r="F63" s="40"/>
      <c r="G63" s="72"/>
      <c r="H63" s="72"/>
      <c r="I63" s="72"/>
      <c r="J63" s="72"/>
      <c r="K63" s="72"/>
      <c r="L63" s="72"/>
      <c r="M63" s="79"/>
      <c r="N63" s="40"/>
      <c r="O63" s="40"/>
      <c r="P63" s="40"/>
      <c r="Q63" s="40"/>
      <c r="R63" s="40"/>
      <c r="S63" s="40"/>
      <c r="T63" s="83"/>
      <c r="U63" s="83"/>
      <c r="V63" s="40"/>
    </row>
  </sheetData>
  <mergeCells count="18">
    <mergeCell ref="A62:W62"/>
    <mergeCell ref="C9:D9"/>
    <mergeCell ref="G9:L9"/>
    <mergeCell ref="M9:O9"/>
    <mergeCell ref="P57:Q57"/>
    <mergeCell ref="C58:V58"/>
    <mergeCell ref="C59:J59"/>
    <mergeCell ref="B57:O57"/>
    <mergeCell ref="S57:V57"/>
    <mergeCell ref="B6:F8"/>
    <mergeCell ref="G6:L7"/>
    <mergeCell ref="M6:O6"/>
    <mergeCell ref="P6:V8"/>
    <mergeCell ref="B2:D4"/>
    <mergeCell ref="E2:V2"/>
    <mergeCell ref="E3:O3"/>
    <mergeCell ref="P3:V3"/>
    <mergeCell ref="E4:V4"/>
  </mergeCells>
  <conditionalFormatting sqref="V10:V56">
    <cfRule type="cellIs" dxfId="0"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E2635-E3FA-4E50-BBF5-3989F6F5C77F}">
  <sheetPr>
    <tabColor theme="9" tint="-0.249977111117893"/>
  </sheetPr>
  <dimension ref="A1:AB58"/>
  <sheetViews>
    <sheetView tabSelected="1" showWhiteSpace="0" zoomScale="80" zoomScaleNormal="80" zoomScaleSheetLayoutView="40" zoomScalePageLayoutView="60" workbookViewId="0">
      <selection activeCell="C3" sqref="C3:D3"/>
    </sheetView>
  </sheetViews>
  <sheetFormatPr baseColWidth="10" defaultColWidth="11.453125" defaultRowHeight="14"/>
  <cols>
    <col min="1" max="1" width="1.90625" style="95" customWidth="1"/>
    <col min="2" max="2" width="10" style="95" customWidth="1"/>
    <col min="3" max="3" width="24.54296875" style="95" customWidth="1"/>
    <col min="4" max="4" width="56.1796875" style="95" customWidth="1"/>
    <col min="5" max="5" width="9.08984375" style="95" bestFit="1" customWidth="1"/>
    <col min="6" max="6" width="6.453125" style="95" customWidth="1"/>
    <col min="7" max="7" width="20.81640625" style="95" customWidth="1"/>
    <col min="8" max="8" width="11.453125" style="95"/>
    <col min="9" max="9" width="13.90625" style="95" bestFit="1" customWidth="1"/>
    <col min="10" max="16384" width="11.453125" style="95"/>
  </cols>
  <sheetData>
    <row r="1" spans="2:7" ht="14.5" thickBot="1"/>
    <row r="2" spans="2:7" ht="78.650000000000006" customHeight="1" thickBot="1">
      <c r="B2" s="133"/>
      <c r="C2" s="141" t="s">
        <v>178</v>
      </c>
      <c r="D2" s="142"/>
      <c r="E2" s="142"/>
      <c r="F2" s="142"/>
      <c r="G2" s="143"/>
    </row>
    <row r="3" spans="2:7" ht="72.650000000000006" customHeight="1" thickBot="1">
      <c r="B3" s="134" t="s">
        <v>64</v>
      </c>
      <c r="C3" s="139" t="s">
        <v>65</v>
      </c>
      <c r="D3" s="140"/>
      <c r="E3" s="134" t="s">
        <v>72</v>
      </c>
      <c r="F3" s="134" t="s">
        <v>80</v>
      </c>
      <c r="G3" s="135" t="s">
        <v>179</v>
      </c>
    </row>
    <row r="4" spans="2:7" ht="140.4" customHeight="1">
      <c r="B4" s="96">
        <v>1</v>
      </c>
      <c r="C4" s="97" t="s">
        <v>84</v>
      </c>
      <c r="D4" s="98" t="s">
        <v>85</v>
      </c>
      <c r="E4" s="99" t="s">
        <v>162</v>
      </c>
      <c r="F4" s="99">
        <v>1</v>
      </c>
      <c r="G4" s="100">
        <v>1210883</v>
      </c>
    </row>
    <row r="5" spans="2:7" ht="119.4" customHeight="1">
      <c r="B5" s="76">
        <v>2</v>
      </c>
      <c r="C5" s="101" t="s">
        <v>84</v>
      </c>
      <c r="D5" s="102" t="s">
        <v>86</v>
      </c>
      <c r="E5" s="103" t="s">
        <v>162</v>
      </c>
      <c r="F5" s="103">
        <v>1</v>
      </c>
      <c r="G5" s="104">
        <v>1543939</v>
      </c>
    </row>
    <row r="6" spans="2:7" ht="102.65" customHeight="1">
      <c r="B6" s="76">
        <v>3</v>
      </c>
      <c r="C6" s="101" t="s">
        <v>84</v>
      </c>
      <c r="D6" s="102" t="s">
        <v>87</v>
      </c>
      <c r="E6" s="103" t="s">
        <v>162</v>
      </c>
      <c r="F6" s="103">
        <v>1</v>
      </c>
      <c r="G6" s="104">
        <v>3317125</v>
      </c>
    </row>
    <row r="7" spans="2:7" ht="103.75" customHeight="1">
      <c r="B7" s="76">
        <v>4</v>
      </c>
      <c r="C7" s="101" t="s">
        <v>84</v>
      </c>
      <c r="D7" s="102" t="s">
        <v>88</v>
      </c>
      <c r="E7" s="103" t="s">
        <v>162</v>
      </c>
      <c r="F7" s="103">
        <v>1</v>
      </c>
      <c r="G7" s="104">
        <v>7397833</v>
      </c>
    </row>
    <row r="8" spans="2:7">
      <c r="B8" s="76">
        <v>5</v>
      </c>
      <c r="C8" s="101" t="s">
        <v>89</v>
      </c>
      <c r="D8" s="102" t="s">
        <v>90</v>
      </c>
      <c r="E8" s="103" t="s">
        <v>162</v>
      </c>
      <c r="F8" s="103">
        <v>1</v>
      </c>
      <c r="G8" s="104">
        <v>2245</v>
      </c>
    </row>
    <row r="9" spans="2:7">
      <c r="B9" s="76">
        <v>6</v>
      </c>
      <c r="C9" s="101" t="s">
        <v>91</v>
      </c>
      <c r="D9" s="102" t="s">
        <v>92</v>
      </c>
      <c r="E9" s="103" t="s">
        <v>162</v>
      </c>
      <c r="F9" s="103">
        <v>1</v>
      </c>
      <c r="G9" s="104">
        <v>189713</v>
      </c>
    </row>
    <row r="10" spans="2:7">
      <c r="B10" s="76">
        <v>7</v>
      </c>
      <c r="C10" s="101" t="s">
        <v>93</v>
      </c>
      <c r="D10" s="102" t="s">
        <v>94</v>
      </c>
      <c r="E10" s="103" t="s">
        <v>162</v>
      </c>
      <c r="F10" s="103">
        <v>1</v>
      </c>
      <c r="G10" s="104">
        <v>211858</v>
      </c>
    </row>
    <row r="11" spans="2:7">
      <c r="B11" s="76">
        <v>8</v>
      </c>
      <c r="C11" s="101" t="s">
        <v>95</v>
      </c>
      <c r="D11" s="102" t="s">
        <v>96</v>
      </c>
      <c r="E11" s="103" t="s">
        <v>162</v>
      </c>
      <c r="F11" s="103">
        <v>1</v>
      </c>
      <c r="G11" s="104">
        <v>93062</v>
      </c>
    </row>
    <row r="12" spans="2:7">
      <c r="B12" s="76">
        <v>9</v>
      </c>
      <c r="C12" s="101" t="s">
        <v>97</v>
      </c>
      <c r="D12" s="102" t="s">
        <v>98</v>
      </c>
      <c r="E12" s="103" t="s">
        <v>162</v>
      </c>
      <c r="F12" s="103">
        <v>1</v>
      </c>
      <c r="G12" s="104">
        <v>91885</v>
      </c>
    </row>
    <row r="13" spans="2:7">
      <c r="B13" s="76">
        <v>10</v>
      </c>
      <c r="C13" s="101" t="s">
        <v>99</v>
      </c>
      <c r="D13" s="102" t="s">
        <v>100</v>
      </c>
      <c r="E13" s="103" t="s">
        <v>162</v>
      </c>
      <c r="F13" s="103">
        <v>1</v>
      </c>
      <c r="G13" s="104">
        <v>431823</v>
      </c>
    </row>
    <row r="14" spans="2:7" ht="154">
      <c r="B14" s="76">
        <v>11</v>
      </c>
      <c r="C14" s="101" t="s">
        <v>101</v>
      </c>
      <c r="D14" s="102" t="s">
        <v>102</v>
      </c>
      <c r="E14" s="103" t="s">
        <v>162</v>
      </c>
      <c r="F14" s="103">
        <v>1</v>
      </c>
      <c r="G14" s="104">
        <v>1175415</v>
      </c>
    </row>
    <row r="15" spans="2:7" ht="154">
      <c r="B15" s="76">
        <v>12</v>
      </c>
      <c r="C15" s="101" t="s">
        <v>103</v>
      </c>
      <c r="D15" s="102" t="s">
        <v>104</v>
      </c>
      <c r="E15" s="103" t="s">
        <v>162</v>
      </c>
      <c r="F15" s="103">
        <v>1</v>
      </c>
      <c r="G15" s="104">
        <v>1280171</v>
      </c>
    </row>
    <row r="16" spans="2:7" ht="112">
      <c r="B16" s="76">
        <v>13</v>
      </c>
      <c r="C16" s="101" t="s">
        <v>105</v>
      </c>
      <c r="D16" s="102" t="s">
        <v>106</v>
      </c>
      <c r="E16" s="103" t="s">
        <v>162</v>
      </c>
      <c r="F16" s="103">
        <v>1</v>
      </c>
      <c r="G16" s="104">
        <v>532168</v>
      </c>
    </row>
    <row r="17" spans="2:7">
      <c r="B17" s="76">
        <v>14</v>
      </c>
      <c r="C17" s="101" t="s">
        <v>107</v>
      </c>
      <c r="D17" s="102" t="s">
        <v>108</v>
      </c>
      <c r="E17" s="103" t="s">
        <v>162</v>
      </c>
      <c r="F17" s="103">
        <v>1</v>
      </c>
      <c r="G17" s="104">
        <v>1111978</v>
      </c>
    </row>
    <row r="18" spans="2:7" ht="121.25" customHeight="1">
      <c r="B18" s="76">
        <v>15</v>
      </c>
      <c r="C18" s="101" t="s">
        <v>109</v>
      </c>
      <c r="D18" s="102" t="s">
        <v>110</v>
      </c>
      <c r="E18" s="103" t="s">
        <v>162</v>
      </c>
      <c r="F18" s="103">
        <v>1</v>
      </c>
      <c r="G18" s="104">
        <v>77912</v>
      </c>
    </row>
    <row r="19" spans="2:7">
      <c r="B19" s="76">
        <v>16</v>
      </c>
      <c r="C19" s="101" t="s">
        <v>111</v>
      </c>
      <c r="D19" s="102" t="s">
        <v>112</v>
      </c>
      <c r="E19" s="103" t="s">
        <v>162</v>
      </c>
      <c r="F19" s="103">
        <v>1</v>
      </c>
      <c r="G19" s="104">
        <v>975663</v>
      </c>
    </row>
    <row r="20" spans="2:7" ht="130.75" customHeight="1">
      <c r="B20" s="76">
        <v>17</v>
      </c>
      <c r="C20" s="101" t="s">
        <v>113</v>
      </c>
      <c r="D20" s="102" t="s">
        <v>114</v>
      </c>
      <c r="E20" s="103" t="s">
        <v>162</v>
      </c>
      <c r="F20" s="103">
        <v>1</v>
      </c>
      <c r="G20" s="104">
        <v>5759404</v>
      </c>
    </row>
    <row r="21" spans="2:7" ht="28">
      <c r="B21" s="76">
        <v>18</v>
      </c>
      <c r="C21" s="101" t="s">
        <v>115</v>
      </c>
      <c r="D21" s="102" t="s">
        <v>116</v>
      </c>
      <c r="E21" s="103" t="s">
        <v>162</v>
      </c>
      <c r="F21" s="103">
        <v>1</v>
      </c>
      <c r="G21" s="104">
        <v>591373</v>
      </c>
    </row>
    <row r="22" spans="2:7" ht="124.75" customHeight="1">
      <c r="B22" s="76">
        <v>19</v>
      </c>
      <c r="C22" s="101" t="s">
        <v>117</v>
      </c>
      <c r="D22" s="102" t="s">
        <v>118</v>
      </c>
      <c r="E22" s="103" t="s">
        <v>162</v>
      </c>
      <c r="F22" s="103">
        <v>1</v>
      </c>
      <c r="G22" s="104">
        <v>219357</v>
      </c>
    </row>
    <row r="23" spans="2:7" ht="28">
      <c r="B23" s="76">
        <v>20</v>
      </c>
      <c r="C23" s="101" t="s">
        <v>119</v>
      </c>
      <c r="D23" s="102" t="s">
        <v>120</v>
      </c>
      <c r="E23" s="103" t="s">
        <v>162</v>
      </c>
      <c r="F23" s="103">
        <v>1</v>
      </c>
      <c r="G23" s="104">
        <v>1049099</v>
      </c>
    </row>
    <row r="24" spans="2:7">
      <c r="B24" s="76">
        <v>21</v>
      </c>
      <c r="C24" s="101" t="s">
        <v>121</v>
      </c>
      <c r="D24" s="102" t="s">
        <v>122</v>
      </c>
      <c r="E24" s="103" t="s">
        <v>162</v>
      </c>
      <c r="F24" s="103">
        <v>1</v>
      </c>
      <c r="G24" s="104">
        <v>198561</v>
      </c>
    </row>
    <row r="25" spans="2:7">
      <c r="B25" s="76">
        <v>22</v>
      </c>
      <c r="C25" s="101" t="s">
        <v>121</v>
      </c>
      <c r="D25" s="102" t="s">
        <v>123</v>
      </c>
      <c r="E25" s="103" t="s">
        <v>162</v>
      </c>
      <c r="F25" s="103">
        <v>1</v>
      </c>
      <c r="G25" s="104">
        <v>307772</v>
      </c>
    </row>
    <row r="26" spans="2:7" ht="56">
      <c r="B26" s="76">
        <v>23</v>
      </c>
      <c r="C26" s="101" t="s">
        <v>124</v>
      </c>
      <c r="D26" s="102" t="s">
        <v>125</v>
      </c>
      <c r="E26" s="103" t="s">
        <v>162</v>
      </c>
      <c r="F26" s="103">
        <v>1</v>
      </c>
      <c r="G26" s="104">
        <v>5099981</v>
      </c>
    </row>
    <row r="27" spans="2:7" ht="56">
      <c r="B27" s="76">
        <v>24</v>
      </c>
      <c r="C27" s="101" t="s">
        <v>124</v>
      </c>
      <c r="D27" s="102" t="s">
        <v>126</v>
      </c>
      <c r="E27" s="103" t="s">
        <v>162</v>
      </c>
      <c r="F27" s="103">
        <v>1</v>
      </c>
      <c r="G27" s="104">
        <v>1507736</v>
      </c>
    </row>
    <row r="28" spans="2:7" ht="56">
      <c r="B28" s="76">
        <v>25</v>
      </c>
      <c r="C28" s="101" t="s">
        <v>124</v>
      </c>
      <c r="D28" s="102" t="s">
        <v>127</v>
      </c>
      <c r="E28" s="103" t="s">
        <v>162</v>
      </c>
      <c r="F28" s="103">
        <v>1</v>
      </c>
      <c r="G28" s="104">
        <v>1740199</v>
      </c>
    </row>
    <row r="29" spans="2:7">
      <c r="B29" s="76">
        <v>26</v>
      </c>
      <c r="C29" s="101" t="s">
        <v>128</v>
      </c>
      <c r="D29" s="102" t="s">
        <v>129</v>
      </c>
      <c r="E29" s="103" t="s">
        <v>162</v>
      </c>
      <c r="F29" s="103">
        <v>1</v>
      </c>
      <c r="G29" s="104">
        <v>191019</v>
      </c>
    </row>
    <row r="30" spans="2:7">
      <c r="B30" s="76">
        <v>27</v>
      </c>
      <c r="C30" s="101" t="s">
        <v>128</v>
      </c>
      <c r="D30" s="102" t="s">
        <v>130</v>
      </c>
      <c r="E30" s="103" t="s">
        <v>162</v>
      </c>
      <c r="F30" s="103">
        <v>1</v>
      </c>
      <c r="G30" s="104">
        <v>318472</v>
      </c>
    </row>
    <row r="31" spans="2:7">
      <c r="B31" s="76">
        <v>28</v>
      </c>
      <c r="C31" s="101" t="s">
        <v>128</v>
      </c>
      <c r="D31" s="102" t="s">
        <v>131</v>
      </c>
      <c r="E31" s="103" t="s">
        <v>162</v>
      </c>
      <c r="F31" s="103">
        <v>1</v>
      </c>
      <c r="G31" s="104">
        <v>568291</v>
      </c>
    </row>
    <row r="32" spans="2:7">
      <c r="B32" s="76">
        <v>29</v>
      </c>
      <c r="C32" s="101" t="s">
        <v>128</v>
      </c>
      <c r="D32" s="102" t="s">
        <v>132</v>
      </c>
      <c r="E32" s="103" t="s">
        <v>162</v>
      </c>
      <c r="F32" s="103">
        <v>1</v>
      </c>
      <c r="G32" s="104">
        <v>1495803</v>
      </c>
    </row>
    <row r="33" spans="2:7">
      <c r="B33" s="76">
        <v>30</v>
      </c>
      <c r="C33" s="101" t="s">
        <v>128</v>
      </c>
      <c r="D33" s="102" t="s">
        <v>133</v>
      </c>
      <c r="E33" s="103" t="s">
        <v>162</v>
      </c>
      <c r="F33" s="103">
        <v>1</v>
      </c>
      <c r="G33" s="104">
        <v>2801126</v>
      </c>
    </row>
    <row r="34" spans="2:7">
      <c r="B34" s="76">
        <v>31</v>
      </c>
      <c r="C34" s="101" t="s">
        <v>134</v>
      </c>
      <c r="D34" s="102" t="s">
        <v>135</v>
      </c>
      <c r="E34" s="103" t="s">
        <v>162</v>
      </c>
      <c r="F34" s="103">
        <v>1</v>
      </c>
      <c r="G34" s="104">
        <v>627265</v>
      </c>
    </row>
    <row r="35" spans="2:7">
      <c r="B35" s="76">
        <v>32</v>
      </c>
      <c r="C35" s="101" t="s">
        <v>134</v>
      </c>
      <c r="D35" s="102" t="s">
        <v>136</v>
      </c>
      <c r="E35" s="103" t="s">
        <v>162</v>
      </c>
      <c r="F35" s="103">
        <v>1</v>
      </c>
      <c r="G35" s="104">
        <v>552101</v>
      </c>
    </row>
    <row r="36" spans="2:7">
      <c r="B36" s="76">
        <v>33</v>
      </c>
      <c r="C36" s="101" t="s">
        <v>134</v>
      </c>
      <c r="D36" s="102" t="s">
        <v>137</v>
      </c>
      <c r="E36" s="103" t="s">
        <v>162</v>
      </c>
      <c r="F36" s="103">
        <v>1</v>
      </c>
      <c r="G36" s="104">
        <v>1229306</v>
      </c>
    </row>
    <row r="37" spans="2:7">
      <c r="B37" s="76">
        <v>34</v>
      </c>
      <c r="C37" s="101" t="s">
        <v>134</v>
      </c>
      <c r="D37" s="102" t="s">
        <v>138</v>
      </c>
      <c r="E37" s="103" t="s">
        <v>162</v>
      </c>
      <c r="F37" s="103">
        <v>1</v>
      </c>
      <c r="G37" s="104">
        <v>1567194</v>
      </c>
    </row>
    <row r="38" spans="2:7" ht="28">
      <c r="B38" s="76">
        <v>35</v>
      </c>
      <c r="C38" s="101" t="s">
        <v>139</v>
      </c>
      <c r="D38" s="102" t="s">
        <v>140</v>
      </c>
      <c r="E38" s="103" t="s">
        <v>163</v>
      </c>
      <c r="F38" s="103">
        <v>1</v>
      </c>
      <c r="G38" s="104">
        <v>551916</v>
      </c>
    </row>
    <row r="39" spans="2:7" ht="42">
      <c r="B39" s="76">
        <v>36</v>
      </c>
      <c r="C39" s="101" t="s">
        <v>141</v>
      </c>
      <c r="D39" s="102" t="s">
        <v>142</v>
      </c>
      <c r="E39" s="103" t="s">
        <v>163</v>
      </c>
      <c r="F39" s="103">
        <v>1</v>
      </c>
      <c r="G39" s="104">
        <v>219536</v>
      </c>
    </row>
    <row r="40" spans="2:7">
      <c r="B40" s="76">
        <v>37</v>
      </c>
      <c r="C40" s="101" t="s">
        <v>143</v>
      </c>
      <c r="D40" s="102" t="s">
        <v>144</v>
      </c>
      <c r="E40" s="103" t="s">
        <v>163</v>
      </c>
      <c r="F40" s="103">
        <v>1</v>
      </c>
      <c r="G40" s="104">
        <v>243275</v>
      </c>
    </row>
    <row r="41" spans="2:7">
      <c r="B41" s="76">
        <v>38</v>
      </c>
      <c r="C41" s="101" t="s">
        <v>145</v>
      </c>
      <c r="D41" s="102" t="s">
        <v>146</v>
      </c>
      <c r="E41" s="103" t="s">
        <v>163</v>
      </c>
      <c r="F41" s="103">
        <v>1</v>
      </c>
      <c r="G41" s="104">
        <v>186028</v>
      </c>
    </row>
    <row r="42" spans="2:7" ht="28">
      <c r="B42" s="76">
        <v>39</v>
      </c>
      <c r="C42" s="101" t="s">
        <v>147</v>
      </c>
      <c r="D42" s="102" t="s">
        <v>148</v>
      </c>
      <c r="E42" s="103" t="s">
        <v>162</v>
      </c>
      <c r="F42" s="103">
        <v>1</v>
      </c>
      <c r="G42" s="104">
        <v>1687302</v>
      </c>
    </row>
    <row r="43" spans="2:7" ht="28">
      <c r="B43" s="76">
        <v>40</v>
      </c>
      <c r="C43" s="101" t="s">
        <v>147</v>
      </c>
      <c r="D43" s="102" t="s">
        <v>149</v>
      </c>
      <c r="E43" s="105" t="s">
        <v>162</v>
      </c>
      <c r="F43" s="105">
        <v>1</v>
      </c>
      <c r="G43" s="104">
        <v>922456</v>
      </c>
    </row>
    <row r="44" spans="2:7" ht="168">
      <c r="B44" s="76">
        <v>41</v>
      </c>
      <c r="C44" s="101" t="s">
        <v>150</v>
      </c>
      <c r="D44" s="102" t="s">
        <v>151</v>
      </c>
      <c r="E44" s="105" t="s">
        <v>162</v>
      </c>
      <c r="F44" s="105">
        <v>1</v>
      </c>
      <c r="G44" s="104">
        <v>17375</v>
      </c>
    </row>
    <row r="45" spans="2:7" ht="176.4" customHeight="1">
      <c r="B45" s="76">
        <v>42</v>
      </c>
      <c r="C45" s="101" t="s">
        <v>152</v>
      </c>
      <c r="D45" s="102" t="s">
        <v>153</v>
      </c>
      <c r="E45" s="105" t="s">
        <v>162</v>
      </c>
      <c r="F45" s="105">
        <v>1</v>
      </c>
      <c r="G45" s="104">
        <v>16638</v>
      </c>
    </row>
    <row r="46" spans="2:7" ht="247.25" customHeight="1">
      <c r="B46" s="76">
        <v>43</v>
      </c>
      <c r="C46" s="101" t="s">
        <v>154</v>
      </c>
      <c r="D46" s="102" t="s">
        <v>155</v>
      </c>
      <c r="E46" s="105" t="s">
        <v>162</v>
      </c>
      <c r="F46" s="105">
        <v>1</v>
      </c>
      <c r="G46" s="104">
        <v>310133</v>
      </c>
    </row>
    <row r="47" spans="2:7" ht="222.65" customHeight="1">
      <c r="B47" s="76">
        <v>44</v>
      </c>
      <c r="C47" s="101" t="s">
        <v>154</v>
      </c>
      <c r="D47" s="102" t="s">
        <v>156</v>
      </c>
      <c r="E47" s="105" t="s">
        <v>162</v>
      </c>
      <c r="F47" s="105">
        <v>1</v>
      </c>
      <c r="G47" s="104">
        <v>891448</v>
      </c>
    </row>
    <row r="48" spans="2:7" ht="228" customHeight="1">
      <c r="B48" s="76">
        <v>45</v>
      </c>
      <c r="C48" s="101" t="s">
        <v>154</v>
      </c>
      <c r="D48" s="102" t="s">
        <v>157</v>
      </c>
      <c r="E48" s="105" t="s">
        <v>162</v>
      </c>
      <c r="F48" s="105">
        <v>1</v>
      </c>
      <c r="G48" s="104">
        <v>1236064</v>
      </c>
    </row>
    <row r="49" spans="1:28" ht="202.75" customHeight="1">
      <c r="B49" s="76">
        <v>46</v>
      </c>
      <c r="C49" s="101" t="s">
        <v>158</v>
      </c>
      <c r="D49" s="102" t="s">
        <v>159</v>
      </c>
      <c r="E49" s="105" t="s">
        <v>162</v>
      </c>
      <c r="F49" s="105">
        <v>1</v>
      </c>
      <c r="G49" s="104">
        <v>30081</v>
      </c>
    </row>
    <row r="50" spans="1:28" ht="192.65" customHeight="1" thickBot="1">
      <c r="B50" s="76">
        <v>47</v>
      </c>
      <c r="C50" s="101" t="s">
        <v>160</v>
      </c>
      <c r="D50" s="102" t="s">
        <v>161</v>
      </c>
      <c r="E50" s="105" t="s">
        <v>162</v>
      </c>
      <c r="F50" s="105">
        <v>1</v>
      </c>
      <c r="G50" s="104">
        <v>52803</v>
      </c>
    </row>
    <row r="51" spans="1:28" ht="37.25" customHeight="1" thickBot="1">
      <c r="B51" s="136" t="s">
        <v>177</v>
      </c>
      <c r="C51" s="137"/>
      <c r="D51" s="137"/>
      <c r="E51" s="137"/>
      <c r="F51" s="137"/>
      <c r="G51" s="108">
        <f>SUM(G4:G50)</f>
        <v>51832787</v>
      </c>
    </row>
    <row r="52" spans="1:28">
      <c r="A52" s="138"/>
      <c r="B52" s="138"/>
      <c r="C52" s="138"/>
      <c r="D52" s="138"/>
      <c r="E52" s="138"/>
      <c r="F52" s="138"/>
      <c r="G52" s="138"/>
    </row>
    <row r="54" spans="1:28">
      <c r="D54" s="71"/>
    </row>
    <row r="55" spans="1:28">
      <c r="D55" s="106"/>
    </row>
    <row r="56" spans="1:28" s="107" customFormat="1">
      <c r="A56" s="95"/>
      <c r="B56" s="95"/>
      <c r="C56" s="95"/>
      <c r="D56" s="95"/>
      <c r="E56" s="95"/>
      <c r="F56" s="95"/>
      <c r="G56" s="95"/>
      <c r="H56" s="95"/>
      <c r="I56" s="95"/>
      <c r="J56" s="95"/>
      <c r="K56" s="95"/>
      <c r="L56" s="95"/>
      <c r="M56" s="95"/>
      <c r="N56" s="95"/>
      <c r="O56" s="95"/>
      <c r="P56" s="95"/>
      <c r="Q56" s="95"/>
      <c r="R56" s="95"/>
      <c r="S56" s="95"/>
      <c r="T56" s="95"/>
      <c r="U56" s="95"/>
      <c r="V56" s="95"/>
      <c r="W56" s="95"/>
      <c r="X56" s="95"/>
      <c r="Y56" s="95"/>
      <c r="Z56" s="95"/>
      <c r="AA56" s="95"/>
      <c r="AB56" s="95"/>
    </row>
    <row r="57" spans="1:28" s="107" customFormat="1">
      <c r="A57" s="95"/>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row>
    <row r="58" spans="1:28" s="107" customFormat="1">
      <c r="A58" s="95"/>
      <c r="B58" s="95"/>
      <c r="C58" s="95"/>
      <c r="D58" s="95"/>
      <c r="E58" s="95"/>
      <c r="F58" s="95"/>
      <c r="G58" s="95"/>
      <c r="H58" s="95"/>
      <c r="I58" s="95"/>
      <c r="J58" s="95"/>
      <c r="K58" s="95"/>
      <c r="L58" s="95"/>
      <c r="M58" s="95"/>
      <c r="N58" s="95"/>
      <c r="O58" s="95"/>
      <c r="P58" s="95"/>
      <c r="Q58" s="95"/>
      <c r="R58" s="95"/>
      <c r="S58" s="95"/>
      <c r="T58" s="95"/>
      <c r="U58" s="95"/>
      <c r="V58" s="95"/>
      <c r="W58" s="95"/>
      <c r="X58" s="95"/>
      <c r="Y58" s="95"/>
      <c r="Z58" s="95"/>
      <c r="AA58" s="95"/>
      <c r="AB58" s="95"/>
    </row>
  </sheetData>
  <mergeCells count="4">
    <mergeCell ref="B51:F51"/>
    <mergeCell ref="A52:G52"/>
    <mergeCell ref="C3:D3"/>
    <mergeCell ref="C2:G2"/>
  </mergeCells>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N11"/>
  <sheetViews>
    <sheetView workbookViewId="0">
      <selection activeCell="R15" sqref="R15"/>
    </sheetView>
  </sheetViews>
  <sheetFormatPr baseColWidth="10" defaultRowHeight="14.5"/>
  <cols>
    <col min="4" max="4" width="52.453125" bestFit="1" customWidth="1"/>
    <col min="6" max="6" width="18.453125" customWidth="1"/>
    <col min="11" max="11" width="18" customWidth="1"/>
    <col min="21" max="21" width="16.08984375" customWidth="1"/>
    <col min="38" max="38" width="15.453125" customWidth="1"/>
  </cols>
  <sheetData>
    <row r="3" spans="1:40" ht="15" thickBot="1"/>
    <row r="4" spans="1:40" s="9" customFormat="1" ht="63">
      <c r="A4" s="1" t="s">
        <v>4</v>
      </c>
      <c r="B4" s="1" t="s">
        <v>5</v>
      </c>
      <c r="C4" s="1" t="s">
        <v>6</v>
      </c>
      <c r="D4" s="1" t="s">
        <v>7</v>
      </c>
      <c r="E4" s="2" t="s">
        <v>8</v>
      </c>
      <c r="F4" s="3" t="s">
        <v>9</v>
      </c>
      <c r="G4" s="4" t="s">
        <v>10</v>
      </c>
      <c r="H4" s="4" t="s">
        <v>11</v>
      </c>
      <c r="I4" s="4" t="s">
        <v>12</v>
      </c>
      <c r="J4" s="4" t="s">
        <v>13</v>
      </c>
      <c r="K4" s="4" t="s">
        <v>14</v>
      </c>
      <c r="L4" s="4" t="s">
        <v>15</v>
      </c>
      <c r="M4" s="5" t="s">
        <v>16</v>
      </c>
      <c r="N4" s="4" t="s">
        <v>17</v>
      </c>
      <c r="O4" s="212" t="s">
        <v>18</v>
      </c>
      <c r="P4" s="213"/>
      <c r="Q4" s="213"/>
      <c r="R4" s="213"/>
      <c r="S4" s="213"/>
      <c r="T4" s="213"/>
      <c r="U4" s="213"/>
      <c r="V4" s="213"/>
      <c r="W4" s="213"/>
      <c r="X4" s="213"/>
      <c r="Y4" s="213"/>
      <c r="Z4" s="214"/>
      <c r="AA4" s="6"/>
      <c r="AB4" s="6"/>
      <c r="AC4" s="6"/>
      <c r="AD4" s="6"/>
      <c r="AE4" s="4" t="s">
        <v>19</v>
      </c>
      <c r="AF4" s="4" t="s">
        <v>3</v>
      </c>
      <c r="AG4" s="4" t="s">
        <v>20</v>
      </c>
      <c r="AH4" s="4" t="s">
        <v>21</v>
      </c>
      <c r="AI4" s="4" t="s">
        <v>22</v>
      </c>
      <c r="AJ4" s="4" t="s">
        <v>23</v>
      </c>
      <c r="AK4" s="4" t="s">
        <v>24</v>
      </c>
      <c r="AL4" s="7" t="s">
        <v>25</v>
      </c>
      <c r="AM4" s="8" t="s">
        <v>26</v>
      </c>
    </row>
    <row r="5" spans="1:40" s="9" customFormat="1" ht="10">
      <c r="A5" s="11">
        <v>2011</v>
      </c>
      <c r="B5" s="10">
        <v>340</v>
      </c>
      <c r="C5" s="10" t="s">
        <v>28</v>
      </c>
      <c r="D5" s="10" t="s">
        <v>29</v>
      </c>
      <c r="E5" s="12" t="s">
        <v>42</v>
      </c>
      <c r="F5" s="13">
        <v>40827</v>
      </c>
      <c r="G5" s="10" t="s">
        <v>44</v>
      </c>
      <c r="H5" s="10" t="s">
        <v>27</v>
      </c>
      <c r="I5" s="10" t="s">
        <v>30</v>
      </c>
      <c r="J5" s="10"/>
      <c r="K5" s="14">
        <v>7287250</v>
      </c>
      <c r="L5" s="10"/>
      <c r="M5" s="10" t="s">
        <v>31</v>
      </c>
      <c r="N5" s="10"/>
      <c r="O5" s="10" t="s">
        <v>32</v>
      </c>
      <c r="P5" s="10" t="s">
        <v>33</v>
      </c>
      <c r="Q5" s="10" t="s">
        <v>34</v>
      </c>
      <c r="R5" s="10" t="s">
        <v>35</v>
      </c>
      <c r="S5" s="10" t="s">
        <v>36</v>
      </c>
      <c r="T5" s="10" t="s">
        <v>37</v>
      </c>
      <c r="U5" s="10" t="s">
        <v>38</v>
      </c>
      <c r="V5" s="10" t="s">
        <v>39</v>
      </c>
      <c r="W5" s="10"/>
      <c r="X5" s="10"/>
      <c r="Y5" s="10"/>
      <c r="Z5" s="10"/>
      <c r="AA5" s="10"/>
      <c r="AB5" s="10"/>
      <c r="AC5" s="10"/>
      <c r="AD5" s="10"/>
      <c r="AE5" s="10" t="s">
        <v>37</v>
      </c>
      <c r="AF5" s="10" t="s">
        <v>40</v>
      </c>
      <c r="AG5" s="10"/>
      <c r="AH5" s="10"/>
      <c r="AI5" s="10"/>
      <c r="AJ5" s="10" t="s">
        <v>41</v>
      </c>
      <c r="AK5" s="10"/>
      <c r="AL5" s="15"/>
      <c r="AM5" s="16"/>
    </row>
    <row r="6" spans="1:40" s="9" customFormat="1" ht="17.5">
      <c r="A6" s="30"/>
      <c r="B6" s="22"/>
      <c r="C6" s="22"/>
      <c r="D6" s="22" t="s">
        <v>40</v>
      </c>
      <c r="E6" s="31"/>
      <c r="F6" s="21"/>
      <c r="G6" s="22"/>
      <c r="H6" s="22"/>
      <c r="I6" s="22" t="s">
        <v>43</v>
      </c>
      <c r="J6" s="22"/>
      <c r="K6" s="32">
        <f>2174138*1.16</f>
        <v>2522000.0799999996</v>
      </c>
      <c r="L6" s="22"/>
      <c r="M6" s="22"/>
      <c r="N6" s="22"/>
      <c r="O6" s="22">
        <v>900131147</v>
      </c>
      <c r="P6" s="33" t="s">
        <v>60</v>
      </c>
      <c r="Q6" s="34" t="s">
        <v>58</v>
      </c>
      <c r="R6" s="34" t="s">
        <v>61</v>
      </c>
      <c r="S6" s="34" t="s">
        <v>62</v>
      </c>
      <c r="T6" s="22" t="s">
        <v>40</v>
      </c>
      <c r="U6" s="34">
        <v>830131794</v>
      </c>
      <c r="V6" s="22" t="s">
        <v>63</v>
      </c>
      <c r="W6" s="22"/>
      <c r="X6" s="22"/>
      <c r="Y6" s="22"/>
      <c r="Z6" s="22"/>
      <c r="AA6" s="22"/>
      <c r="AB6" s="22"/>
      <c r="AC6" s="22"/>
      <c r="AD6" s="22"/>
      <c r="AE6" s="22"/>
      <c r="AF6" s="22"/>
      <c r="AG6" s="22"/>
      <c r="AH6" s="22"/>
      <c r="AI6" s="22"/>
      <c r="AJ6" s="22"/>
      <c r="AK6" s="22"/>
      <c r="AL6" s="24">
        <v>90</v>
      </c>
      <c r="AM6" s="9" t="s">
        <v>45</v>
      </c>
      <c r="AN6" s="9">
        <f>45225*1.16</f>
        <v>52461</v>
      </c>
    </row>
    <row r="7" spans="1:40" s="9" customFormat="1" ht="10">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46</v>
      </c>
      <c r="AN7" s="9">
        <f>139000*1.16</f>
        <v>161240</v>
      </c>
    </row>
    <row r="8" spans="1:40" s="9" customFormat="1" ht="10.5"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47</v>
      </c>
      <c r="AN8" s="9">
        <f>22414*1.16</f>
        <v>26000.239999999998</v>
      </c>
    </row>
    <row r="9" spans="1:40" s="9" customFormat="1" ht="10.5" thickBot="1">
      <c r="A9" s="18">
        <v>2012</v>
      </c>
      <c r="B9" s="19">
        <v>234</v>
      </c>
      <c r="C9" s="19" t="s">
        <v>28</v>
      </c>
      <c r="D9" s="22" t="s">
        <v>53</v>
      </c>
      <c r="E9" s="20" t="s">
        <v>42</v>
      </c>
      <c r="F9" s="21" t="s">
        <v>55</v>
      </c>
      <c r="G9" s="10" t="s">
        <v>54</v>
      </c>
      <c r="H9" s="22"/>
      <c r="I9" s="22" t="s">
        <v>48</v>
      </c>
      <c r="J9" s="22"/>
      <c r="K9" s="23">
        <v>8957520</v>
      </c>
      <c r="L9" s="22"/>
      <c r="M9" s="22" t="s">
        <v>56</v>
      </c>
      <c r="N9" s="22"/>
      <c r="O9" s="22" t="s">
        <v>49</v>
      </c>
      <c r="P9" s="35" t="s">
        <v>53</v>
      </c>
      <c r="Q9" s="9" t="s">
        <v>51</v>
      </c>
      <c r="T9" s="36"/>
      <c r="U9" s="22"/>
      <c r="V9" s="22"/>
      <c r="W9" s="22"/>
      <c r="X9" s="22"/>
      <c r="Y9" s="22"/>
      <c r="Z9" s="22"/>
      <c r="AA9" s="22"/>
      <c r="AB9" s="22"/>
      <c r="AC9" s="22"/>
      <c r="AD9" s="22"/>
      <c r="AE9" s="22" t="s">
        <v>53</v>
      </c>
      <c r="AF9" s="17" t="s">
        <v>52</v>
      </c>
      <c r="AG9" s="22"/>
      <c r="AH9" s="22"/>
      <c r="AI9" s="22"/>
      <c r="AJ9" s="10" t="s">
        <v>41</v>
      </c>
      <c r="AK9" s="22"/>
      <c r="AL9" s="24"/>
    </row>
    <row r="10" spans="1:40" s="9" customFormat="1" ht="16" thickBot="1">
      <c r="A10" s="25"/>
      <c r="B10" s="17"/>
      <c r="C10" s="26"/>
      <c r="D10" s="17"/>
      <c r="E10" s="29"/>
      <c r="F10" s="25"/>
      <c r="G10" s="17"/>
      <c r="H10" s="17"/>
      <c r="I10" s="17"/>
      <c r="J10" s="17"/>
      <c r="K10" s="17"/>
      <c r="L10" s="17"/>
      <c r="M10" s="17"/>
      <c r="N10" s="17"/>
      <c r="O10" s="17" t="s">
        <v>50</v>
      </c>
      <c r="P10" s="17" t="s">
        <v>52</v>
      </c>
      <c r="Q10" s="33" t="s">
        <v>59</v>
      </c>
      <c r="R10" s="38"/>
      <c r="S10" s="38"/>
      <c r="T10" s="17"/>
      <c r="U10" s="17"/>
      <c r="V10" s="17"/>
      <c r="W10" s="17"/>
      <c r="X10" s="17"/>
      <c r="Y10" s="17"/>
      <c r="Z10" s="17"/>
      <c r="AA10" s="17"/>
      <c r="AB10" s="17"/>
      <c r="AC10" s="17"/>
      <c r="AD10" s="17"/>
      <c r="AE10" s="17"/>
      <c r="AF10" s="17"/>
      <c r="AG10" s="17"/>
      <c r="AH10" s="17"/>
      <c r="AI10" s="17"/>
      <c r="AJ10" s="17"/>
      <c r="AK10" s="17"/>
      <c r="AL10" s="27">
        <v>550</v>
      </c>
      <c r="AM10" s="28" t="s">
        <v>57</v>
      </c>
      <c r="AN10" s="9">
        <f>14040*1.16</f>
        <v>16286.4</v>
      </c>
    </row>
    <row r="11" spans="1:40">
      <c r="AN11">
        <f>+AN10*AL10</f>
        <v>8957520</v>
      </c>
    </row>
  </sheetData>
  <mergeCells count="1">
    <mergeCell ref="O4:Z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FM-029 INICIAL</vt:lpstr>
      <vt:lpstr>FM-029 DEPURADA</vt:lpstr>
      <vt:lpstr>PRECIOS TECHO </vt:lpstr>
      <vt:lpstr>MATRIZ UAERMV OTRAS VIGENCIAS</vt:lpstr>
      <vt:lpstr>'FM-029 DEPURADA'!Área_de_impresión</vt:lpstr>
      <vt:lpstr>'FM-029 INICIAL'!Área_de_impresión</vt:lpstr>
      <vt:lpstr>'PRECIOS TECHO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GELVEZ</dc:creator>
  <cp:lastModifiedBy>Lisdaira Rojas Gamba</cp:lastModifiedBy>
  <cp:lastPrinted>2025-02-18T19:48:45Z</cp:lastPrinted>
  <dcterms:created xsi:type="dcterms:W3CDTF">2013-12-20T17:02:46Z</dcterms:created>
  <dcterms:modified xsi:type="dcterms:W3CDTF">2026-06-14T21:02:39Z</dcterms:modified>
</cp:coreProperties>
</file>