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5"/>
  <workbookPr/>
  <mc:AlternateContent xmlns:mc="http://schemas.openxmlformats.org/markup-compatibility/2006">
    <mc:Choice Requires="x15">
      <x15ac:absPath xmlns:x15ac="http://schemas.microsoft.com/office/spreadsheetml/2010/11/ac" url="/Users/macbrandon/Documents/CentroDeCienciasDeporte/ProcesosPublicos/2026 - CALIBRACION/03 - Comparativo/"/>
    </mc:Choice>
  </mc:AlternateContent>
  <xr:revisionPtr revIDLastSave="0" documentId="13_ncr:1_{4A341A8E-FFB2-B048-BA38-05D3D2223C76}" xr6:coauthVersionLast="47" xr6:coauthVersionMax="47" xr10:uidLastSave="{00000000-0000-0000-0000-000000000000}"/>
  <bookViews>
    <workbookView xWindow="0" yWindow="760" windowWidth="30240" windowHeight="17240" firstSheet="8" activeTab="8" xr2:uid="{00000000-000D-0000-FFFF-FFFF00000000}"/>
  </bookViews>
  <sheets>
    <sheet name="COMPARATIVO" sheetId="1" r:id="rId1"/>
    <sheet name="ANÁLISIS OUTLIERS" sheetId="2" r:id="rId2"/>
    <sheet name="NOTAS" sheetId="3" r:id="rId3"/>
    <sheet name="Biomédica Colombia" sheetId="4" r:id="rId4"/>
    <sheet name="Conamet (Cía. Nacional de Metro" sheetId="5" r:id="rId5"/>
    <sheet name="LMA — Laboratorio Metrológico d" sheetId="6" r:id="rId6"/>
    <sheet name="Biosancta" sheetId="7" r:id="rId7"/>
    <sheet name="Doxa Internacional" sheetId="8" r:id="rId8"/>
    <sheet name="MEBI Metrología" sheetId="9" r:id="rId9"/>
    <sheet name="Xingmedical" sheetId="10" r:id="rId10"/>
  </sheets>
  <definedNames>
    <definedName name="_xlnm.Print_Area" localSheetId="0">COMPARATIVO!$A$1:$Q$16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0" l="1"/>
  <c r="F15" i="10"/>
  <c r="G14" i="10"/>
  <c r="F14" i="10"/>
  <c r="G13" i="10"/>
  <c r="F13" i="10"/>
  <c r="G12" i="10"/>
  <c r="F12" i="10"/>
  <c r="G11" i="10"/>
  <c r="F11" i="10"/>
  <c r="G10" i="10"/>
  <c r="F10" i="10"/>
  <c r="G9" i="10"/>
  <c r="F9" i="10"/>
  <c r="G15" i="9"/>
  <c r="F15" i="9"/>
  <c r="G14" i="9"/>
  <c r="F14" i="9"/>
  <c r="G13" i="9"/>
  <c r="F13" i="9"/>
  <c r="G12" i="9"/>
  <c r="F12" i="9"/>
  <c r="G11" i="9"/>
  <c r="F11" i="9"/>
  <c r="G10" i="9"/>
  <c r="F10" i="9"/>
  <c r="G9" i="9"/>
  <c r="F9" i="9"/>
  <c r="G16" i="8"/>
  <c r="F16" i="8"/>
  <c r="G15" i="8"/>
  <c r="F15" i="8"/>
  <c r="G14" i="8"/>
  <c r="F14" i="8"/>
  <c r="G13" i="8"/>
  <c r="F13" i="8"/>
  <c r="G12" i="8"/>
  <c r="F12" i="8"/>
  <c r="G11" i="8"/>
  <c r="F11" i="8"/>
  <c r="G10" i="8"/>
  <c r="F10" i="8"/>
  <c r="G9" i="8"/>
  <c r="F9" i="8"/>
  <c r="G18" i="7"/>
  <c r="G16" i="7"/>
  <c r="F16" i="7"/>
  <c r="G15" i="7"/>
  <c r="F15" i="7"/>
  <c r="G14" i="7"/>
  <c r="F14" i="7"/>
  <c r="G13" i="7"/>
  <c r="F13" i="7"/>
  <c r="G12" i="7"/>
  <c r="F12" i="7"/>
  <c r="G11" i="7"/>
  <c r="F11" i="7"/>
  <c r="G10" i="7"/>
  <c r="F10" i="7"/>
  <c r="G9" i="7"/>
  <c r="F9" i="7"/>
  <c r="G18" i="6"/>
  <c r="F18" i="6"/>
  <c r="G15" i="6"/>
  <c r="F15" i="6"/>
  <c r="G11" i="6"/>
  <c r="F11" i="6"/>
  <c r="G10" i="6"/>
  <c r="F10" i="6"/>
  <c r="G9" i="6"/>
  <c r="F9" i="6"/>
  <c r="G16" i="5"/>
  <c r="F16" i="5"/>
  <c r="G15" i="5"/>
  <c r="F15" i="5"/>
  <c r="G14" i="5"/>
  <c r="F14" i="5"/>
  <c r="G13" i="5"/>
  <c r="F13" i="5"/>
  <c r="G12" i="5"/>
  <c r="F12" i="5"/>
  <c r="G11" i="5"/>
  <c r="F11" i="5"/>
  <c r="G10" i="5"/>
  <c r="F10" i="5"/>
  <c r="G9" i="5"/>
  <c r="F9" i="5"/>
  <c r="G16" i="4"/>
  <c r="F16" i="4"/>
  <c r="G15" i="4"/>
  <c r="F15" i="4"/>
  <c r="G14" i="4"/>
  <c r="F14" i="4"/>
  <c r="G13" i="4"/>
  <c r="F13" i="4"/>
  <c r="G12" i="4"/>
  <c r="F12" i="4"/>
  <c r="G11" i="4"/>
  <c r="F11" i="4"/>
  <c r="G10" i="4"/>
  <c r="F10" i="4"/>
  <c r="G9" i="4"/>
  <c r="F9" i="4"/>
  <c r="P12" i="1"/>
  <c r="J12" i="1"/>
  <c r="H12" i="1"/>
  <c r="D12" i="1"/>
  <c r="P11" i="1"/>
  <c r="N11" i="1"/>
  <c r="M11" i="1"/>
  <c r="L11" i="1"/>
  <c r="J11" i="1"/>
  <c r="H11" i="1"/>
  <c r="F11" i="1"/>
  <c r="D11" i="1"/>
  <c r="P10" i="1"/>
  <c r="N10" i="1"/>
  <c r="L10" i="1"/>
  <c r="J10" i="1"/>
  <c r="H10" i="1"/>
  <c r="D10" i="1"/>
  <c r="P9" i="1"/>
  <c r="N9" i="1"/>
  <c r="L9" i="1"/>
  <c r="J9" i="1"/>
  <c r="H9" i="1"/>
  <c r="D9" i="1"/>
  <c r="P8" i="1"/>
  <c r="N8" i="1"/>
  <c r="L8" i="1"/>
  <c r="J8" i="1"/>
  <c r="H8" i="1"/>
  <c r="D8" i="1"/>
  <c r="P7" i="1"/>
  <c r="N7" i="1"/>
  <c r="L7" i="1"/>
  <c r="J7" i="1"/>
  <c r="H7" i="1"/>
  <c r="F7" i="1"/>
  <c r="E7" i="1"/>
  <c r="D7" i="1"/>
  <c r="P6" i="1"/>
  <c r="N6" i="1"/>
  <c r="L6" i="1"/>
  <c r="J6" i="1"/>
  <c r="H6" i="1"/>
  <c r="F6" i="1"/>
  <c r="D6" i="1"/>
  <c r="N5" i="1"/>
  <c r="L5" i="1"/>
  <c r="J5" i="1"/>
  <c r="H5" i="1"/>
  <c r="F5" i="1"/>
  <c r="D5" i="1"/>
  <c r="G20" i="10" l="1"/>
  <c r="G18" i="10"/>
  <c r="G19" i="10" s="1"/>
  <c r="G20" i="9"/>
  <c r="G18" i="9"/>
  <c r="G19" i="9" s="1"/>
  <c r="G19" i="7"/>
  <c r="G20" i="6"/>
  <c r="G21" i="6" s="1"/>
  <c r="G18" i="4"/>
  <c r="G19" i="4" s="1"/>
  <c r="G20" i="8"/>
  <c r="G18" i="8"/>
  <c r="G19" i="8" s="1"/>
  <c r="G20" i="7"/>
  <c r="G20" i="5"/>
  <c r="Q12" i="1"/>
  <c r="Q11" i="1"/>
  <c r="G22" i="6"/>
  <c r="G20" i="4"/>
  <c r="K12" i="1"/>
  <c r="I12" i="1"/>
  <c r="E12" i="1"/>
  <c r="O11" i="1"/>
  <c r="O10" i="1"/>
  <c r="M10" i="1"/>
  <c r="K10" i="1"/>
  <c r="I10" i="1"/>
  <c r="E10" i="1"/>
  <c r="Q9" i="1"/>
  <c r="G18" i="5"/>
  <c r="G19" i="5" s="1"/>
  <c r="K9" i="1"/>
  <c r="E8" i="1"/>
  <c r="Q7" i="1"/>
  <c r="O7" i="1"/>
  <c r="M7" i="1"/>
  <c r="K7" i="1"/>
  <c r="I7" i="1"/>
  <c r="G7" i="1"/>
  <c r="O6" i="1"/>
  <c r="M6" i="1"/>
  <c r="K6" i="1"/>
  <c r="I6" i="1"/>
  <c r="G6" i="1"/>
  <c r="E6" i="1"/>
  <c r="P5" i="1"/>
  <c r="Q5" i="1" s="1"/>
  <c r="O9" i="1"/>
  <c r="M9" i="1"/>
  <c r="O8" i="1"/>
  <c r="M8" i="1"/>
  <c r="K8" i="1"/>
  <c r="I8" i="1"/>
  <c r="K11" i="1"/>
  <c r="I11" i="1"/>
  <c r="G11" i="1"/>
  <c r="E11" i="1"/>
  <c r="Q10" i="1"/>
  <c r="I5" i="1"/>
  <c r="E5" i="1"/>
  <c r="I9" i="1"/>
  <c r="E9" i="1"/>
  <c r="Q8" i="1"/>
  <c r="Q6" i="1"/>
  <c r="O5" i="1"/>
  <c r="M5" i="1"/>
  <c r="K5" i="1"/>
  <c r="G5" i="1"/>
  <c r="Q13" i="1" l="1"/>
  <c r="I13" i="1"/>
  <c r="E13" i="1"/>
  <c r="O13" i="1"/>
  <c r="M13" i="1"/>
  <c r="K13" i="1"/>
  <c r="G13" i="1"/>
</calcChain>
</file>

<file path=xl/sharedStrings.xml><?xml version="1.0" encoding="utf-8"?>
<sst xmlns="http://schemas.openxmlformats.org/spreadsheetml/2006/main" count="449" uniqueCount="109">
  <si>
    <t>COMPARATIVO DE COTIZACIONES — Calibración 2026 — Centro de Ciencias del Deporte</t>
  </si>
  <si>
    <t>Todos los precios INCLUYEN IVA (19%). Por oferente: «V. Unit. c/IVA» = valor unitario × (1+IVA);  «Total c/IVA» = Cantidad × V. Unit. c/IVA. El «Precio Máx. Unit. c/IVA» (columna PROMEDIO) es el precio máximo unitario de referencia por ítem.</t>
  </si>
  <si>
    <t>#</t>
  </si>
  <si>
    <t>Ítem</t>
  </si>
  <si>
    <t>Cantidad</t>
  </si>
  <si>
    <t>Biomédica Colombia</t>
  </si>
  <si>
    <t>LMA — Laboratorio Metrológico de Antioquia</t>
  </si>
  <si>
    <t>Biosancta</t>
  </si>
  <si>
    <t>Doxa Internacional</t>
  </si>
  <si>
    <t>MEBI Metrología</t>
  </si>
  <si>
    <t>Xingmedical</t>
  </si>
  <si>
    <t>PROMEDIO (Media Geom.)</t>
  </si>
  <si>
    <t>V. Unit. c/IVA</t>
  </si>
  <si>
    <t>Total c/IVA</t>
  </si>
  <si>
    <t>Precio Máx. Unit. c/IVA</t>
  </si>
  <si>
    <t>Promedio Total c/IVA</t>
  </si>
  <si>
    <t>1</t>
  </si>
  <si>
    <t>BÁSCULA</t>
  </si>
  <si>
    <t>2</t>
  </si>
  <si>
    <t>GRAMERA</t>
  </si>
  <si>
    <t>3</t>
  </si>
  <si>
    <t>BÁSCULA DE SILLA</t>
  </si>
  <si>
    <t>4</t>
  </si>
  <si>
    <t>DINAMÓMETRO</t>
  </si>
  <si>
    <t>5</t>
  </si>
  <si>
    <t>OXÍMETRO DE PULSO</t>
  </si>
  <si>
    <t>6</t>
  </si>
  <si>
    <t>TENSIÓMETRO</t>
  </si>
  <si>
    <t>7</t>
  </si>
  <si>
    <t>TERMOHIGRÓMETRO</t>
  </si>
  <si>
    <t>8</t>
  </si>
  <si>
    <t>CALIBRADOR DE PLIEGUES CUTÁNEOS</t>
  </si>
  <si>
    <t>TOTAL OFERTA  (suma de Totales c/IVA)</t>
  </si>
  <si>
    <t>—</t>
  </si>
  <si>
    <t>ANÁLISIS DE OUTLIERS Y JUSTIFICACIÓN DE EXCLUSIONES</t>
  </si>
  <si>
    <t>OUTLIERS DETECTADOS POR ÍTEM</t>
  </si>
  <si>
    <t>Conamet (Cía. Nacional de Metrología)</t>
  </si>
  <si>
    <t>μ (Promedio)</t>
  </si>
  <si>
    <t>Desv. Est.</t>
  </si>
  <si>
    <t>CV</t>
  </si>
  <si>
    <t>Umbral</t>
  </si>
  <si>
    <t>Promedio Depurado</t>
  </si>
  <si>
    <t>RESUMEN: # ítems donde el proveedor sale outlier</t>
  </si>
  <si>
    <t>Proveedor</t>
  </si>
  <si>
    <t>Ítems outlier</t>
  </si>
  <si>
    <t>% del total</t>
  </si>
  <si>
    <t>JUSTIFICACIÓN DE EXCLUSIONES PARA EL COMPARATIVO FINAL</t>
  </si>
  <si>
    <t>Proveedor excluido del comparativo</t>
  </si>
  <si>
    <t>Conamet aparece como outlier en 6 de 8 ítems (precios ~3× el promedio del resto del mercado). Su inclusión en el promedio infla el §6.1 del estudio previo y excede el techo CDP por sí sola.</t>
  </si>
  <si>
    <t>ANOTACIONES GLOBALES Y CRITERIOS DEL COMPARATIVO</t>
  </si>
  <si>
    <t>1.</t>
  </si>
  <si>
    <t>Techo CDP: $10,000,000. IVA aplicado: 19%.</t>
  </si>
  <si>
    <t>2.</t>
  </si>
  <si>
    <t>Método de outliers: Precios &gt; Promedio + sigma × Desv. Estándar son marcados como outliers y excluidos del Promedio Depurado. σ por defecto = 1.5; editable en la celda D3 de la hoja COMPARATIVO.</t>
  </si>
  <si>
    <t>Anotaciones específicas:</t>
  </si>
  <si>
    <t>MEBI Metrología y Xingmedical cotizaron 16 unidades de báscula porque tratan la báscula de silla (item 3) como una báscula más; el costo unitario y proceso son los mismos. En el comparativo se asigna el mismo unitario al item 3, manteniendo la cantidad solicitada (15 + 1).</t>
  </si>
  <si>
    <t>LMA solo cotizó 4 ítems (báscula, gramera, báscula 200kg y termohigrómetro) más un servicio en sitio de $1.500.000 (viáticos). Los ítems faltantes quedan vacíos en el comparativo y no entran al promedio de esas filas.</t>
  </si>
  <si>
    <t>Items del proceso:</t>
  </si>
  <si>
    <t>Ítem · cantidad solicitada · especificaciones</t>
  </si>
  <si>
    <t>BÁSCULA · cant: 15 · Rango: 0–140 kg. Equipos (15): 8× SECA 803, 2× OMRON HBF-514C, 1× SECA 813, 1× HEALTH O METER 844KL, 2× SECA 769, 1× TANITA TBF-300A</t>
  </si>
  <si>
    <t>GRAMERA · cant: 1 · Rango: 0–5 kg. Equipos (1): 1× CAMRY EK3252</t>
  </si>
  <si>
    <t>BÁSCULA DE SILLA · cant: 1 · Rango: 0–200 kg. Equipos (1): 1× SECA 952</t>
  </si>
  <si>
    <t>DINAMÓMETRO · cant: 1 · Rango: 0–90 kg fuerza. Equipos (1): 1× TAKEI PHYSICAL FITNESS TEST GRIP-A</t>
  </si>
  <si>
    <t>OXÍMETRO DE PULSO · cant: 15 · SpO₂ 70–100 %, FC 30–230 bpm. Equipos (15): 8× ACCURATE CMS 500DL, 6× RIESTER RI-FOX N, 1× NONIN 3150</t>
  </si>
  <si>
    <t>TENSIÓMETRO · cant: 13 · 0–300 mmHg. Equipos (13): 9× GMD GMD20, 1× LORD, 1× WELCH ALLYN DS44, 2× WELCH ALLYN 7670-01S</t>
  </si>
  <si>
    <t>TERMOHIGRÓMETRO · cant: 8 · Temperatura + Humedad relativa, 3 puntos cada uno. Equipos (8): 2× ALLA FRANCE 9100-009/A, 1× HTC-2, 1× ETP101, 1× TFA DOSTMANN, 1× THERMOPRO TP50, 2× KESTREL 5400</t>
  </si>
  <si>
    <t>CALIBRADOR DE PLIEGUES CUTÁNEOS · cant: 3 · Rango 0–80 mm apertura. Equipos (3): 2× GAUCHO PRO ROSSCRAFT, 1× HAB DIRECT</t>
  </si>
  <si>
    <t>COTIZACIÓN INDIVIDUAL</t>
  </si>
  <si>
    <t>Proveedor:</t>
  </si>
  <si>
    <t>Contacto:</t>
  </si>
  <si>
    <t>operaciones@biomedicacolombia.com — Liliana Valero</t>
  </si>
  <si>
    <t>Fuente:</t>
  </si>
  <si>
    <t>Solicitud_Calibracion_2026_ENVIAR.xlsx (formato AL-FR-104 diligenciado)</t>
  </si>
  <si>
    <t>Validez:</t>
  </si>
  <si>
    <t>90 días</t>
  </si>
  <si>
    <t>ONAC:</t>
  </si>
  <si>
    <t>Sí (acreditado)</t>
  </si>
  <si>
    <t>Especificaciones</t>
  </si>
  <si>
    <t>V. Unit. sin IVA</t>
  </si>
  <si>
    <t>IVA línea (19%)</t>
  </si>
  <si>
    <t>Total línea c/IVA</t>
  </si>
  <si>
    <t>Rango: 0–140 kg. Equipos (15): 8× SECA 803, 2× OMRON HBF-514C, 1× SECA 813, 1× HEALTH O METER 844KL, 2× SECA 769, 1× TANITA TBF-300A</t>
  </si>
  <si>
    <t>Rango: 0–5 kg. Equipos (1): 1× CAMRY EK3252</t>
  </si>
  <si>
    <t>Rango: 0–200 kg. Equipos (1): 1× SECA 952</t>
  </si>
  <si>
    <t>Rango: 0–90 kg fuerza. Equipos (1): 1× TAKEI PHYSICAL FITNESS TEST GRIP-A</t>
  </si>
  <si>
    <t>SpO₂ 70–100 %, FC 30–230 bpm. Equipos (15): 8× ACCURATE CMS 500DL, 6× RIESTER RI-FOX N, 1× NONIN 3150</t>
  </si>
  <si>
    <t>0–300 mmHg. Equipos (13): 9× GMD GMD20, 1× LORD, 1× WELCH ALLYN DS44, 2× WELCH ALLYN 7670-01S</t>
  </si>
  <si>
    <t>Temperatura + Humedad relativa, 3 puntos cada uno. Equipos (8): 2× ALLA FRANCE 9100-009/A, 1× HTC-2, 1× ETP101, 1× TFA DOSTMANN, 1× THERMOPRO TP50, 2× KESTREL 5400</t>
  </si>
  <si>
    <t>Rango 0–80 mm apertura. Equipos (3): 2× GAUCHO PRO ROSSCRAFT, 1× HAB DIRECT</t>
  </si>
  <si>
    <t>Subtotal sin IVA</t>
  </si>
  <si>
    <t>IVA 19%</t>
  </si>
  <si>
    <t>TOTAL c/IVA</t>
  </si>
  <si>
    <t>licitaciones@conamet.com — Luz Helena Salazar</t>
  </si>
  <si>
    <t>PDF — COT26-2109. Acreditación ONAC ISO/IEC 17025 09-LAC-008.</t>
  </si>
  <si>
    <t>info@laboratoriometrologico.com — Paola Andrea Paz</t>
  </si>
  <si>
    <t>PDF — COTIZACIÓN No. 14920. Acreditación ONAC. Incluye servicio en sitio (viáticos $1.500.000).</t>
  </si>
  <si>
    <t>(no cotizó)</t>
  </si>
  <si>
    <t>Conceptos adicionales:</t>
  </si>
  <si>
    <t>Servicio de calibración en sitio (viáticos)</t>
  </si>
  <si>
    <t>direccioncomercial@biosancta.com — Juan Manuel Rodríguez</t>
  </si>
  <si>
    <t>PDF — Factura proforma 8326-2026. ONAC no confirmado en la oferta.</t>
  </si>
  <si>
    <t>30 días</t>
  </si>
  <si>
    <t>No / no confirmado en la oferta</t>
  </si>
  <si>
    <t>direcciongeneral@doxainternacional.com — Carmenza Vuilleumier</t>
  </si>
  <si>
    <t>PDF — Propuesta PC2074. Acreditación ONAC 16-LAC-046, ISO/IEC 17025:2017.</t>
  </si>
  <si>
    <t>glondono@mebimetrologia.com — Geraldine Londoño</t>
  </si>
  <si>
    <t>PDF — Cotización S01280. Acreditación ONAC 15-LAC-020.</t>
  </si>
  <si>
    <t>gestor@xingmedical.com — Liliana Correa</t>
  </si>
  <si>
    <t>PDF — Cotización LC-15248. Acreditación ONAC.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</si>
</sst>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;[Red]\-&quot;$&quot;#,##0"/>
    <numFmt numFmtId="165" formatCode="0.0%;[Red]\-0.0%"/>
  </numFmts>
  <fonts count="10">
    <font>
      <sz val="11"/>
      <color theme="1"/>
      <name val="Calibri"/>
      <family val="2"/>
      <scheme val="minor"/>
    </font>
    <font>
      <b/>
      <sz val="14"/>
      <color rgb="FFFFFFFF"/>
      <name val="Calibri"/>
    </font>
    <font>
      <i/>
      <sz val="9"/>
      <color rgb="FF595959"/>
      <name val="Calibri"/>
    </font>
    <font>
      <b/>
      <sz val="10"/>
      <name val="Calibri"/>
    </font>
    <font>
      <sz val="9"/>
      <name val="Calibri"/>
    </font>
    <font>
      <b/>
      <sz val="12"/>
      <color rgb="FF000000"/>
      <name val="Calibri"/>
    </font>
    <font>
      <b/>
      <sz val="11"/>
      <name val="Calibri"/>
    </font>
    <font>
      <b/>
      <sz val="11"/>
      <color rgb="FF9C0006"/>
      <name val="Calibri"/>
    </font>
    <font>
      <sz val="10"/>
      <name val="Calibri"/>
    </font>
    <font>
      <i/>
      <sz val="9"/>
      <color rgb="FF808080"/>
      <name val="Calibri"/>
    </font>
  </fonts>
  <fills count="12">
    <fill>
      <patternFill patternType="none"/>
    </fill>
    <fill>
      <patternFill patternType="gray125"/>
    </fill>
    <fill>
      <patternFill patternType="solid">
        <fgColor rgb="FF305496"/>
      </patternFill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rgb="FFFFE699"/>
      </patternFill>
    </fill>
    <fill>
      <patternFill patternType="solid">
        <fgColor rgb="FFFFF2CC"/>
      </patternFill>
    </fill>
    <fill>
      <patternFill patternType="solid">
        <fgColor rgb="FFF7F7F7"/>
      </patternFill>
    </fill>
    <fill>
      <patternFill patternType="solid">
        <fgColor rgb="FFC6EFCE"/>
      </patternFill>
    </fill>
    <fill>
      <patternFill patternType="solid">
        <fgColor rgb="FFFFC000"/>
      </patternFill>
    </fill>
    <fill>
      <patternFill patternType="solid">
        <fgColor rgb="FFFFC7CE"/>
      </patternFill>
    </fill>
    <fill>
      <patternFill patternType="solid">
        <fgColor rgb="FFEFEFE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4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" fontId="0" fillId="6" borderId="1" xfId="0" applyNumberFormat="1" applyFill="1" applyBorder="1" applyAlignment="1">
      <alignment horizontal="center" vertical="center" wrapText="1"/>
    </xf>
    <xf numFmtId="164" fontId="0" fillId="0" borderId="3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164" fontId="0" fillId="7" borderId="3" xfId="0" applyNumberFormat="1" applyFill="1" applyBorder="1" applyAlignment="1">
      <alignment horizontal="right" vertical="center"/>
    </xf>
    <xf numFmtId="164" fontId="0" fillId="7" borderId="1" xfId="0" applyNumberFormat="1" applyFill="1" applyBorder="1" applyAlignment="1">
      <alignment horizontal="right" vertical="center"/>
    </xf>
    <xf numFmtId="164" fontId="3" fillId="6" borderId="3" xfId="0" applyNumberFormat="1" applyFont="1" applyFill="1" applyBorder="1" applyAlignment="1">
      <alignment horizontal="right" vertical="center"/>
    </xf>
    <xf numFmtId="164" fontId="3" fillId="6" borderId="1" xfId="0" applyNumberFormat="1" applyFont="1" applyFill="1" applyBorder="1" applyAlignment="1">
      <alignment horizontal="right" vertical="center"/>
    </xf>
    <xf numFmtId="0" fontId="0" fillId="7" borderId="3" xfId="0" applyFill="1" applyBorder="1"/>
    <xf numFmtId="0" fontId="0" fillId="7" borderId="1" xfId="0" applyFill="1" applyBorder="1"/>
    <xf numFmtId="0" fontId="0" fillId="0" borderId="3" xfId="0" applyBorder="1"/>
    <xf numFmtId="0" fontId="3" fillId="8" borderId="2" xfId="0" applyFont="1" applyFill="1" applyBorder="1" applyAlignment="1">
      <alignment horizontal="center" vertical="center" wrapText="1"/>
    </xf>
    <xf numFmtId="164" fontId="3" fillId="8" borderId="2" xfId="0" applyNumberFormat="1" applyFont="1" applyFill="1" applyBorder="1"/>
    <xf numFmtId="0" fontId="3" fillId="9" borderId="2" xfId="0" applyFont="1" applyFill="1" applyBorder="1" applyAlignment="1">
      <alignment horizontal="center" vertical="center" wrapText="1"/>
    </xf>
    <xf numFmtId="164" fontId="5" fillId="9" borderId="2" xfId="0" applyNumberFormat="1" applyFont="1" applyFill="1" applyBorder="1"/>
    <xf numFmtId="164" fontId="0" fillId="0" borderId="1" xfId="0" applyNumberFormat="1" applyBorder="1"/>
    <xf numFmtId="164" fontId="7" fillId="10" borderId="1" xfId="0" applyNumberFormat="1" applyFont="1" applyFill="1" applyBorder="1"/>
    <xf numFmtId="165" fontId="0" fillId="0" borderId="1" xfId="0" applyNumberFormat="1" applyBorder="1"/>
    <xf numFmtId="0" fontId="0" fillId="10" borderId="1" xfId="0" applyFill="1" applyBorder="1"/>
    <xf numFmtId="0" fontId="0" fillId="10" borderId="1" xfId="0" applyFill="1" applyBorder="1" applyAlignment="1">
      <alignment horizontal="center" vertical="center" wrapText="1"/>
    </xf>
    <xf numFmtId="165" fontId="0" fillId="10" borderId="1" xfId="0" applyNumberForma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3" fillId="0" borderId="0" xfId="0" applyFont="1"/>
    <xf numFmtId="0" fontId="0" fillId="0" borderId="0" xfId="0" applyAlignment="1">
      <alignment horizontal="left" vertical="top" wrapText="1"/>
    </xf>
    <xf numFmtId="0" fontId="8" fillId="0" borderId="0" xfId="0" applyFont="1"/>
    <xf numFmtId="0" fontId="8" fillId="0" borderId="0" xfId="0" applyFont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3" fillId="4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left" vertical="top" wrapText="1"/>
    </xf>
    <xf numFmtId="1" fontId="0" fillId="0" borderId="1" xfId="0" applyNumberFormat="1" applyBorder="1" applyAlignment="1">
      <alignment horizontal="center" vertical="center" wrapText="1"/>
    </xf>
    <xf numFmtId="164" fontId="3" fillId="0" borderId="1" xfId="0" applyNumberFormat="1" applyFont="1" applyBorder="1"/>
    <xf numFmtId="0" fontId="3" fillId="8" borderId="1" xfId="0" applyFont="1" applyFill="1" applyBorder="1" applyAlignment="1">
      <alignment horizontal="right" vertical="center"/>
    </xf>
    <xf numFmtId="164" fontId="3" fillId="8" borderId="1" xfId="0" applyNumberFormat="1" applyFont="1" applyFill="1" applyBorder="1"/>
    <xf numFmtId="0" fontId="0" fillId="11" borderId="1" xfId="0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left" vertical="center" wrapText="1"/>
    </xf>
    <xf numFmtId="0" fontId="0" fillId="11" borderId="1" xfId="0" applyFill="1" applyBorder="1" applyAlignment="1">
      <alignment horizontal="left" vertical="top" wrapText="1"/>
    </xf>
    <xf numFmtId="1" fontId="0" fillId="11" borderId="1" xfId="0" applyNumberFormat="1" applyFill="1" applyBorder="1" applyAlignment="1">
      <alignment horizontal="center" vertical="center" wrapText="1"/>
    </xf>
    <xf numFmtId="0" fontId="0" fillId="11" borderId="1" xfId="0" applyFill="1" applyBorder="1"/>
    <xf numFmtId="0" fontId="9" fillId="11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2" fillId="0" borderId="0" xfId="0" applyFont="1" applyAlignment="1"/>
    <xf numFmtId="0" fontId="6" fillId="0" borderId="0" xfId="0" applyFont="1" applyAlignment="1"/>
    <xf numFmtId="0" fontId="3" fillId="0" borderId="0" xfId="0" applyFont="1" applyAlignment="1"/>
    <xf numFmtId="0" fontId="3" fillId="4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6"/>
  <sheetViews>
    <sheetView zoomScale="111" workbookViewId="0">
      <pane xSplit="3" ySplit="4" topLeftCell="D5" activePane="bottomRight" state="frozen"/>
      <selection pane="bottomRight" activeCell="D6" sqref="D6"/>
      <selection pane="bottomLeft"/>
      <selection pane="topRight"/>
    </sheetView>
  </sheetViews>
  <sheetFormatPr defaultColWidth="8.85546875" defaultRowHeight="15"/>
  <cols>
    <col min="1" max="1" width="6" customWidth="1"/>
    <col min="2" max="2" width="30" customWidth="1"/>
    <col min="3" max="3" width="8" customWidth="1"/>
    <col min="4" max="4" width="15" customWidth="1"/>
    <col min="5" max="5" width="16" customWidth="1"/>
    <col min="6" max="6" width="15" customWidth="1"/>
    <col min="7" max="7" width="16" customWidth="1"/>
    <col min="8" max="8" width="15" customWidth="1"/>
    <col min="9" max="9" width="16" customWidth="1"/>
    <col min="10" max="10" width="15" customWidth="1"/>
    <col min="11" max="11" width="16" customWidth="1"/>
    <col min="12" max="12" width="15" customWidth="1"/>
    <col min="13" max="13" width="16" customWidth="1"/>
    <col min="14" max="14" width="15" customWidth="1"/>
    <col min="15" max="15" width="16" customWidth="1"/>
    <col min="16" max="17" width="17" customWidth="1"/>
  </cols>
  <sheetData>
    <row r="1" spans="1:17" ht="24" customHeight="1">
      <c r="A1" s="49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ht="30" customHeight="1">
      <c r="A2" s="53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ht="30" customHeight="1">
      <c r="A3" s="52" t="s">
        <v>2</v>
      </c>
      <c r="B3" s="52" t="s">
        <v>3</v>
      </c>
      <c r="C3" s="52" t="s">
        <v>4</v>
      </c>
      <c r="D3" s="50" t="s">
        <v>5</v>
      </c>
      <c r="E3" s="57"/>
      <c r="F3" s="50" t="s">
        <v>6</v>
      </c>
      <c r="G3" s="57"/>
      <c r="H3" s="50" t="s">
        <v>7</v>
      </c>
      <c r="I3" s="57"/>
      <c r="J3" s="50" t="s">
        <v>8</v>
      </c>
      <c r="K3" s="57"/>
      <c r="L3" s="50" t="s">
        <v>9</v>
      </c>
      <c r="M3" s="57"/>
      <c r="N3" s="50" t="s">
        <v>10</v>
      </c>
      <c r="O3" s="57"/>
      <c r="P3" s="54" t="s">
        <v>11</v>
      </c>
      <c r="Q3" s="57"/>
    </row>
    <row r="4" spans="1:17" ht="27.95" customHeight="1">
      <c r="A4" s="57"/>
      <c r="B4" s="57"/>
      <c r="C4" s="57"/>
      <c r="D4" s="3" t="s">
        <v>12</v>
      </c>
      <c r="E4" s="4" t="s">
        <v>13</v>
      </c>
      <c r="F4" s="3" t="s">
        <v>12</v>
      </c>
      <c r="G4" s="4" t="s">
        <v>13</v>
      </c>
      <c r="H4" s="3" t="s">
        <v>12</v>
      </c>
      <c r="I4" s="4" t="s">
        <v>13</v>
      </c>
      <c r="J4" s="3" t="s">
        <v>12</v>
      </c>
      <c r="K4" s="4" t="s">
        <v>13</v>
      </c>
      <c r="L4" s="3" t="s">
        <v>12</v>
      </c>
      <c r="M4" s="4" t="s">
        <v>13</v>
      </c>
      <c r="N4" s="3" t="s">
        <v>12</v>
      </c>
      <c r="O4" s="4" t="s">
        <v>13</v>
      </c>
      <c r="P4" s="5" t="s">
        <v>14</v>
      </c>
      <c r="Q4" s="6" t="s">
        <v>15</v>
      </c>
    </row>
    <row r="5" spans="1:17" ht="20.100000000000001" customHeight="1">
      <c r="A5" s="7" t="s">
        <v>16</v>
      </c>
      <c r="B5" s="8" t="s">
        <v>17</v>
      </c>
      <c r="C5" s="9">
        <v>15</v>
      </c>
      <c r="D5" s="10">
        <f>199900*(1+0.19)</f>
        <v>237881</v>
      </c>
      <c r="E5" s="11">
        <f t="shared" ref="E5:E12" si="0">C5*D5</f>
        <v>3568215</v>
      </c>
      <c r="F5" s="12">
        <f>185000*(1+0.19)</f>
        <v>220150</v>
      </c>
      <c r="G5" s="13">
        <f>C5*F5</f>
        <v>3302250</v>
      </c>
      <c r="H5" s="10">
        <f>84000*(1+0.19)</f>
        <v>99960</v>
      </c>
      <c r="I5" s="11">
        <f t="shared" ref="I5:I12" si="1">C5*H5</f>
        <v>1499400</v>
      </c>
      <c r="J5" s="12">
        <f>220000*(1+0.19)</f>
        <v>261800</v>
      </c>
      <c r="K5" s="13">
        <f t="shared" ref="K5:K12" si="2">C5*J5</f>
        <v>3927000</v>
      </c>
      <c r="L5" s="10">
        <f>130000*(1+0.19)</f>
        <v>154700</v>
      </c>
      <c r="M5" s="11">
        <f t="shared" ref="M5:M11" si="3">C5*L5</f>
        <v>2320500</v>
      </c>
      <c r="N5" s="12">
        <f>115596*(1+0.19)</f>
        <v>137559.24</v>
      </c>
      <c r="O5" s="13">
        <f t="shared" ref="O5:O11" si="4">C5*N5</f>
        <v>2063388.5999999999</v>
      </c>
      <c r="P5" s="14">
        <f>IFERROR(GEOMEAN(D5,F5,H5,J5,L5,N5),0)</f>
        <v>175445.56837508394</v>
      </c>
      <c r="Q5" s="15">
        <f t="shared" ref="Q5:Q12" si="5">C5*P5</f>
        <v>2631683.5256262589</v>
      </c>
    </row>
    <row r="6" spans="1:17" ht="20.100000000000001" customHeight="1">
      <c r="A6" s="7" t="s">
        <v>18</v>
      </c>
      <c r="B6" s="8" t="s">
        <v>19</v>
      </c>
      <c r="C6" s="9">
        <v>1</v>
      </c>
      <c r="D6" s="10">
        <f>199000*(1+0.19)</f>
        <v>236810</v>
      </c>
      <c r="E6" s="11">
        <f t="shared" si="0"/>
        <v>236810</v>
      </c>
      <c r="F6" s="12">
        <f>137000*(1+0.19)</f>
        <v>163030</v>
      </c>
      <c r="G6" s="13">
        <f>C6*F6</f>
        <v>163030</v>
      </c>
      <c r="H6" s="10">
        <f>84000*(1+0.19)</f>
        <v>99960</v>
      </c>
      <c r="I6" s="11">
        <f t="shared" si="1"/>
        <v>99960</v>
      </c>
      <c r="J6" s="12">
        <f>220000*(1+0.19)</f>
        <v>261800</v>
      </c>
      <c r="K6" s="13">
        <f t="shared" si="2"/>
        <v>261800</v>
      </c>
      <c r="L6" s="10">
        <f>130000*(1+0.19)</f>
        <v>154700</v>
      </c>
      <c r="M6" s="11">
        <f t="shared" si="3"/>
        <v>154700</v>
      </c>
      <c r="N6" s="12">
        <f>115596*(1+0.19)</f>
        <v>137559.24</v>
      </c>
      <c r="O6" s="13">
        <f t="shared" si="4"/>
        <v>137559.24</v>
      </c>
      <c r="P6" s="14">
        <f>IFERROR(GEOMEAN(D6,F6,H6,J6,L6,N6),0)</f>
        <v>166753.10251637475</v>
      </c>
      <c r="Q6" s="15">
        <f t="shared" si="5"/>
        <v>166753.10251637475</v>
      </c>
    </row>
    <row r="7" spans="1:17" ht="20.100000000000001" customHeight="1">
      <c r="A7" s="7" t="s">
        <v>20</v>
      </c>
      <c r="B7" s="8" t="s">
        <v>21</v>
      </c>
      <c r="C7" s="9">
        <v>1</v>
      </c>
      <c r="D7" s="10">
        <f>199000*(1+0.19)</f>
        <v>236810</v>
      </c>
      <c r="E7" s="11">
        <f t="shared" si="0"/>
        <v>236810</v>
      </c>
      <c r="F7" s="12">
        <f>231000*(1+0.19)</f>
        <v>274890</v>
      </c>
      <c r="G7" s="13">
        <f>C7*F7</f>
        <v>274890</v>
      </c>
      <c r="H7" s="10">
        <f>84000*(1+0.19)</f>
        <v>99960</v>
      </c>
      <c r="I7" s="11">
        <f t="shared" si="1"/>
        <v>99960</v>
      </c>
      <c r="J7" s="12">
        <f>220000*(1+0.19)</f>
        <v>261800</v>
      </c>
      <c r="K7" s="13">
        <f t="shared" si="2"/>
        <v>261800</v>
      </c>
      <c r="L7" s="10">
        <f>130000*(1+0.19)</f>
        <v>154700</v>
      </c>
      <c r="M7" s="11">
        <f t="shared" si="3"/>
        <v>154700</v>
      </c>
      <c r="N7" s="12">
        <f>115596*(1+0.19)</f>
        <v>137559.24</v>
      </c>
      <c r="O7" s="13">
        <f t="shared" si="4"/>
        <v>137559.24</v>
      </c>
      <c r="P7" s="14">
        <f>IFERROR(GEOMEAN(D7,F7,H7,J7,L7,N7),0)</f>
        <v>181923.64896334443</v>
      </c>
      <c r="Q7" s="15">
        <f t="shared" si="5"/>
        <v>181923.64896334443</v>
      </c>
    </row>
    <row r="8" spans="1:17" ht="20.100000000000001" customHeight="1">
      <c r="A8" s="7" t="s">
        <v>22</v>
      </c>
      <c r="B8" s="8" t="s">
        <v>23</v>
      </c>
      <c r="C8" s="9">
        <v>1</v>
      </c>
      <c r="D8" s="10">
        <f>199000*(1+0.19)</f>
        <v>236810</v>
      </c>
      <c r="E8" s="11">
        <f t="shared" si="0"/>
        <v>236810</v>
      </c>
      <c r="F8" s="16"/>
      <c r="G8" s="17"/>
      <c r="H8" s="10">
        <f>84000*(1+0.19)</f>
        <v>99960</v>
      </c>
      <c r="I8" s="11">
        <f t="shared" si="1"/>
        <v>99960</v>
      </c>
      <c r="J8" s="12">
        <f>220000*(1+0.19)</f>
        <v>261800</v>
      </c>
      <c r="K8" s="13">
        <f t="shared" si="2"/>
        <v>261800</v>
      </c>
      <c r="L8" s="10">
        <f>158000*(1+0.19)</f>
        <v>188020</v>
      </c>
      <c r="M8" s="11">
        <f t="shared" si="3"/>
        <v>188020</v>
      </c>
      <c r="N8" s="12">
        <f>115596*(1+0.19)</f>
        <v>137559.24</v>
      </c>
      <c r="O8" s="13">
        <f t="shared" si="4"/>
        <v>137559.24</v>
      </c>
      <c r="P8" s="14">
        <f>IFERROR(GEOMEAN(D8,H8,J8,L8,N8),0)</f>
        <v>174171.8435437977</v>
      </c>
      <c r="Q8" s="15">
        <f t="shared" si="5"/>
        <v>174171.8435437977</v>
      </c>
    </row>
    <row r="9" spans="1:17" ht="20.100000000000001" customHeight="1">
      <c r="A9" s="7" t="s">
        <v>24</v>
      </c>
      <c r="B9" s="8" t="s">
        <v>25</v>
      </c>
      <c r="C9" s="9">
        <v>15</v>
      </c>
      <c r="D9" s="10">
        <f>135000*(1+0.19)</f>
        <v>160650</v>
      </c>
      <c r="E9" s="11">
        <f t="shared" si="0"/>
        <v>2409750</v>
      </c>
      <c r="F9" s="16"/>
      <c r="G9" s="17"/>
      <c r="H9" s="10">
        <f>84000*(1+0.19)</f>
        <v>99960</v>
      </c>
      <c r="I9" s="11">
        <f t="shared" si="1"/>
        <v>1499400</v>
      </c>
      <c r="J9" s="12">
        <f>203000*(1+0.19)</f>
        <v>241570</v>
      </c>
      <c r="K9" s="13">
        <f t="shared" si="2"/>
        <v>3623550</v>
      </c>
      <c r="L9" s="10">
        <f>102000*(1+0.19)</f>
        <v>121380</v>
      </c>
      <c r="M9" s="11">
        <f t="shared" si="3"/>
        <v>1820700</v>
      </c>
      <c r="N9" s="12">
        <f>105687*(1+0.19)</f>
        <v>125767.53</v>
      </c>
      <c r="O9" s="13">
        <f t="shared" si="4"/>
        <v>1886512.95</v>
      </c>
      <c r="P9" s="14">
        <f>IFERROR(GEOMEAN(D9,H9,J9,L9,N9),0)</f>
        <v>142722.72474449931</v>
      </c>
      <c r="Q9" s="15">
        <f t="shared" si="5"/>
        <v>2140840.8711674898</v>
      </c>
    </row>
    <row r="10" spans="1:17" ht="20.100000000000001" customHeight="1">
      <c r="A10" s="7" t="s">
        <v>26</v>
      </c>
      <c r="B10" s="8" t="s">
        <v>27</v>
      </c>
      <c r="C10" s="9">
        <v>13</v>
      </c>
      <c r="D10" s="10">
        <f>178000*(1+0.19)</f>
        <v>211820</v>
      </c>
      <c r="E10" s="11">
        <f t="shared" si="0"/>
        <v>2753660</v>
      </c>
      <c r="F10" s="16"/>
      <c r="G10" s="17"/>
      <c r="H10" s="10">
        <f>77000*(1+0.19)</f>
        <v>91630</v>
      </c>
      <c r="I10" s="11">
        <f t="shared" si="1"/>
        <v>1191190</v>
      </c>
      <c r="J10" s="12">
        <f>168800*(1+0.19)</f>
        <v>200872</v>
      </c>
      <c r="K10" s="13">
        <f t="shared" si="2"/>
        <v>2611336</v>
      </c>
      <c r="L10" s="10">
        <f>100000*(1+0.19)</f>
        <v>119000</v>
      </c>
      <c r="M10" s="11">
        <f t="shared" si="3"/>
        <v>1547000</v>
      </c>
      <c r="N10" s="12">
        <f>140366*(1+0.19)</f>
        <v>167035.53999999998</v>
      </c>
      <c r="O10" s="13">
        <f t="shared" si="4"/>
        <v>2171462.0199999996</v>
      </c>
      <c r="P10" s="14">
        <f>IFERROR(GEOMEAN(D10,H10,J10,L10,N10),0)</f>
        <v>150610.75310661245</v>
      </c>
      <c r="Q10" s="15">
        <f t="shared" si="5"/>
        <v>1957939.7903859618</v>
      </c>
    </row>
    <row r="11" spans="1:17" ht="20.100000000000001" customHeight="1">
      <c r="A11" s="7" t="s">
        <v>28</v>
      </c>
      <c r="B11" s="8" t="s">
        <v>29</v>
      </c>
      <c r="C11" s="9">
        <v>8</v>
      </c>
      <c r="D11" s="10">
        <f>195000*(1+0.19)</f>
        <v>232050</v>
      </c>
      <c r="E11" s="11">
        <f t="shared" si="0"/>
        <v>1856400</v>
      </c>
      <c r="F11" s="12">
        <f>145000*(1+0.19)</f>
        <v>172550</v>
      </c>
      <c r="G11" s="13">
        <f>C11*F11</f>
        <v>1380400</v>
      </c>
      <c r="H11" s="10">
        <f>113000*(1+0.19)</f>
        <v>134470</v>
      </c>
      <c r="I11" s="11">
        <f t="shared" si="1"/>
        <v>1075760</v>
      </c>
      <c r="J11" s="12">
        <f>260000*(1+0.19)</f>
        <v>309400</v>
      </c>
      <c r="K11" s="13">
        <f t="shared" si="2"/>
        <v>2475200</v>
      </c>
      <c r="L11" s="10">
        <f>125000*(1+0.19)</f>
        <v>148750</v>
      </c>
      <c r="M11" s="11">
        <f t="shared" si="3"/>
        <v>1190000</v>
      </c>
      <c r="N11" s="12">
        <f>123852*(1+0.19)</f>
        <v>147383.88</v>
      </c>
      <c r="O11" s="13">
        <f t="shared" si="4"/>
        <v>1179071.04</v>
      </c>
      <c r="P11" s="14">
        <f>IFERROR(GEOMEAN(D11,F11,H11,J11,L11,N11),0)</f>
        <v>182148.19351810217</v>
      </c>
      <c r="Q11" s="15">
        <f t="shared" si="5"/>
        <v>1457185.5481448174</v>
      </c>
    </row>
    <row r="12" spans="1:17" ht="20.100000000000001" customHeight="1">
      <c r="A12" s="7" t="s">
        <v>30</v>
      </c>
      <c r="B12" s="8" t="s">
        <v>31</v>
      </c>
      <c r="C12" s="9">
        <v>3</v>
      </c>
      <c r="D12" s="10">
        <f>230000*(1+0.19)</f>
        <v>273700</v>
      </c>
      <c r="E12" s="11">
        <f t="shared" si="0"/>
        <v>821100</v>
      </c>
      <c r="F12" s="16"/>
      <c r="G12" s="17"/>
      <c r="H12" s="10">
        <f>84000*(1+0.19)</f>
        <v>99960</v>
      </c>
      <c r="I12" s="11">
        <f t="shared" si="1"/>
        <v>299880</v>
      </c>
      <c r="J12" s="12">
        <f>195000*(1+0.19)</f>
        <v>232050</v>
      </c>
      <c r="K12" s="13">
        <f t="shared" si="2"/>
        <v>696150</v>
      </c>
      <c r="L12" s="18"/>
      <c r="M12" s="2"/>
      <c r="N12" s="16"/>
      <c r="O12" s="17"/>
      <c r="P12" s="14">
        <f>IFERROR(GEOMEAN(D12,H12,J12),0)</f>
        <v>185165.84122425949</v>
      </c>
      <c r="Q12" s="15">
        <f t="shared" si="5"/>
        <v>555497.52367277851</v>
      </c>
    </row>
    <row r="13" spans="1:17" ht="24" customHeight="1">
      <c r="A13" s="51" t="s">
        <v>32</v>
      </c>
      <c r="B13" s="58"/>
      <c r="C13" s="58"/>
      <c r="D13" s="19" t="s">
        <v>33</v>
      </c>
      <c r="E13" s="20">
        <f>SUM(E5:E12)</f>
        <v>12119555</v>
      </c>
      <c r="F13" s="19" t="s">
        <v>33</v>
      </c>
      <c r="G13" s="20">
        <f>SUM(G5:G12)</f>
        <v>5120570</v>
      </c>
      <c r="H13" s="19" t="s">
        <v>33</v>
      </c>
      <c r="I13" s="20">
        <f>SUM(I5:I12)</f>
        <v>5865510</v>
      </c>
      <c r="J13" s="19" t="s">
        <v>33</v>
      </c>
      <c r="K13" s="20">
        <f>SUM(K5:K12)</f>
        <v>14118636</v>
      </c>
      <c r="L13" s="19" t="s">
        <v>33</v>
      </c>
      <c r="M13" s="20">
        <f>SUM(M5:M12)</f>
        <v>7375620</v>
      </c>
      <c r="N13" s="19" t="s">
        <v>33</v>
      </c>
      <c r="O13" s="20">
        <f>SUM(O5:O12)</f>
        <v>7713112.3300000001</v>
      </c>
      <c r="P13" s="21" t="s">
        <v>33</v>
      </c>
      <c r="Q13" s="22">
        <f>SUM(Q5:Q12)</f>
        <v>9265995.8540208228</v>
      </c>
    </row>
    <row r="15" spans="1:17">
      <c r="A15" s="59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</row>
    <row r="16" spans="1:17">
      <c r="A16" s="59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</row>
  </sheetData>
  <mergeCells count="15">
    <mergeCell ref="A16:Q16"/>
    <mergeCell ref="A15:Q15"/>
    <mergeCell ref="D3:E3"/>
    <mergeCell ref="A1:Q1"/>
    <mergeCell ref="H3:I3"/>
    <mergeCell ref="A13:C13"/>
    <mergeCell ref="C3:C4"/>
    <mergeCell ref="A3:A4"/>
    <mergeCell ref="B3:B4"/>
    <mergeCell ref="A2:Q2"/>
    <mergeCell ref="F3:G3"/>
    <mergeCell ref="L3:M3"/>
    <mergeCell ref="J3:K3"/>
    <mergeCell ref="P3:Q3"/>
    <mergeCell ref="N3:O3"/>
  </mergeCells>
  <printOptions horizontalCentered="1"/>
  <pageMargins left="0.3" right="0.3" top="0.4" bottom="0.4" header="0.5" footer="0.5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8"/>
  <sheetViews>
    <sheetView workbookViewId="0">
      <selection sqref="A1:N1"/>
    </sheetView>
  </sheetViews>
  <sheetFormatPr defaultColWidth="8.85546875" defaultRowHeight="15"/>
  <cols>
    <col min="1" max="1" width="4" customWidth="1"/>
    <col min="2" max="2" width="32" customWidth="1"/>
    <col min="3" max="9" width="16" customWidth="1"/>
    <col min="10" max="13" width="14" customWidth="1"/>
    <col min="14" max="14" width="16" customWidth="1"/>
  </cols>
  <sheetData>
    <row r="1" spans="1:14" ht="24" customHeight="1">
      <c r="A1" s="49" t="s">
        <v>34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3" spans="1:14">
      <c r="A3" s="60" t="s">
        <v>35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</row>
    <row r="5" spans="1:14" ht="45">
      <c r="A5" s="1" t="s">
        <v>2</v>
      </c>
      <c r="B5" s="1" t="s">
        <v>3</v>
      </c>
      <c r="C5" s="1" t="s">
        <v>5</v>
      </c>
      <c r="D5" s="1" t="s">
        <v>36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37</v>
      </c>
      <c r="K5" s="1" t="s">
        <v>38</v>
      </c>
      <c r="L5" s="1" t="s">
        <v>39</v>
      </c>
      <c r="M5" s="1" t="s">
        <v>40</v>
      </c>
      <c r="N5" s="1" t="s">
        <v>41</v>
      </c>
    </row>
    <row r="6" spans="1:14" ht="21.95" customHeight="1">
      <c r="A6" s="7" t="s">
        <v>16</v>
      </c>
      <c r="B6" s="8" t="s">
        <v>17</v>
      </c>
      <c r="C6" s="23">
        <v>199900</v>
      </c>
      <c r="D6" s="24">
        <v>525800</v>
      </c>
      <c r="E6" s="23">
        <v>185000</v>
      </c>
      <c r="F6" s="23">
        <v>84000</v>
      </c>
      <c r="G6" s="23">
        <v>220000</v>
      </c>
      <c r="H6" s="23">
        <v>130000</v>
      </c>
      <c r="I6" s="23">
        <v>115596</v>
      </c>
      <c r="J6" s="23">
        <v>208613.71428571429</v>
      </c>
      <c r="K6" s="23">
        <v>148172.93539387721</v>
      </c>
      <c r="L6" s="25">
        <v>0.71027418260211628</v>
      </c>
      <c r="M6" s="23">
        <v>430873.11737653002</v>
      </c>
      <c r="N6" s="23">
        <v>155749.33333333331</v>
      </c>
    </row>
    <row r="7" spans="1:14" ht="21.95" customHeight="1">
      <c r="A7" s="7" t="s">
        <v>18</v>
      </c>
      <c r="B7" s="8" t="s">
        <v>19</v>
      </c>
      <c r="C7" s="23">
        <v>199000</v>
      </c>
      <c r="D7" s="24">
        <v>412000</v>
      </c>
      <c r="E7" s="23">
        <v>137000</v>
      </c>
      <c r="F7" s="23">
        <v>84000</v>
      </c>
      <c r="G7" s="23">
        <v>220000</v>
      </c>
      <c r="H7" s="23">
        <v>130000</v>
      </c>
      <c r="I7" s="23">
        <v>115596</v>
      </c>
      <c r="J7" s="23">
        <v>185370.8571428571</v>
      </c>
      <c r="K7" s="23">
        <v>110525.9792016166</v>
      </c>
      <c r="L7" s="25">
        <v>0.59624247794484286</v>
      </c>
      <c r="M7" s="23">
        <v>351159.82594528212</v>
      </c>
      <c r="N7" s="23">
        <v>147599.33333333331</v>
      </c>
    </row>
    <row r="8" spans="1:14" ht="21.95" customHeight="1">
      <c r="A8" s="7" t="s">
        <v>20</v>
      </c>
      <c r="B8" s="8" t="s">
        <v>21</v>
      </c>
      <c r="C8" s="23">
        <v>199000</v>
      </c>
      <c r="D8" s="24">
        <v>525800</v>
      </c>
      <c r="E8" s="23">
        <v>231000</v>
      </c>
      <c r="F8" s="23">
        <v>84000</v>
      </c>
      <c r="G8" s="23">
        <v>220000</v>
      </c>
      <c r="H8" s="23">
        <v>130000</v>
      </c>
      <c r="I8" s="23">
        <v>115596</v>
      </c>
      <c r="J8" s="23">
        <v>215056.57142857139</v>
      </c>
      <c r="K8" s="23">
        <v>147986.92105144201</v>
      </c>
      <c r="L8" s="25">
        <v>0.68813019787490715</v>
      </c>
      <c r="M8" s="23">
        <v>437036.95300573442</v>
      </c>
      <c r="N8" s="23">
        <v>163266</v>
      </c>
    </row>
    <row r="9" spans="1:14" ht="21.95" customHeight="1">
      <c r="A9" s="7" t="s">
        <v>22</v>
      </c>
      <c r="B9" s="8" t="s">
        <v>23</v>
      </c>
      <c r="C9" s="23">
        <v>199000</v>
      </c>
      <c r="D9" s="24">
        <v>525800</v>
      </c>
      <c r="E9" s="2"/>
      <c r="F9" s="23">
        <v>84000</v>
      </c>
      <c r="G9" s="23">
        <v>220000</v>
      </c>
      <c r="H9" s="23">
        <v>158000</v>
      </c>
      <c r="I9" s="23">
        <v>115596</v>
      </c>
      <c r="J9" s="23">
        <v>217066</v>
      </c>
      <c r="K9" s="23">
        <v>159463.59150602369</v>
      </c>
      <c r="L9" s="25">
        <v>0.73463182398912641</v>
      </c>
      <c r="M9" s="23">
        <v>456261.3872590356</v>
      </c>
      <c r="N9" s="23">
        <v>155319.20000000001</v>
      </c>
    </row>
    <row r="10" spans="1:14" ht="21.95" customHeight="1">
      <c r="A10" s="7" t="s">
        <v>24</v>
      </c>
      <c r="B10" s="8" t="s">
        <v>25</v>
      </c>
      <c r="C10" s="23">
        <v>135000</v>
      </c>
      <c r="D10" s="24">
        <v>311400</v>
      </c>
      <c r="E10" s="2"/>
      <c r="F10" s="23">
        <v>84000</v>
      </c>
      <c r="G10" s="23">
        <v>203000</v>
      </c>
      <c r="H10" s="23">
        <v>102000</v>
      </c>
      <c r="I10" s="23">
        <v>105687</v>
      </c>
      <c r="J10" s="23">
        <v>156847.83333333331</v>
      </c>
      <c r="K10" s="23">
        <v>86517.333570601142</v>
      </c>
      <c r="L10" s="25">
        <v>0.55160043802922243</v>
      </c>
      <c r="M10" s="23">
        <v>286623.83368923498</v>
      </c>
      <c r="N10" s="23">
        <v>125937.4</v>
      </c>
    </row>
    <row r="11" spans="1:14" ht="21.95" customHeight="1">
      <c r="A11" s="7" t="s">
        <v>26</v>
      </c>
      <c r="B11" s="8" t="s">
        <v>27</v>
      </c>
      <c r="C11" s="23">
        <v>178000</v>
      </c>
      <c r="D11" s="23">
        <v>215400</v>
      </c>
      <c r="E11" s="2"/>
      <c r="F11" s="23">
        <v>77000</v>
      </c>
      <c r="G11" s="23">
        <v>168800</v>
      </c>
      <c r="H11" s="23">
        <v>100000</v>
      </c>
      <c r="I11" s="23">
        <v>140366</v>
      </c>
      <c r="J11" s="23">
        <v>146594.33333333331</v>
      </c>
      <c r="K11" s="23">
        <v>51510.819374832958</v>
      </c>
      <c r="L11" s="25">
        <v>0.35138342801904321</v>
      </c>
      <c r="M11" s="23">
        <v>223860.56239558279</v>
      </c>
      <c r="N11" s="23">
        <v>146594.33333333331</v>
      </c>
    </row>
    <row r="12" spans="1:14" ht="21.95" customHeight="1">
      <c r="A12" s="7" t="s">
        <v>28</v>
      </c>
      <c r="B12" s="8" t="s">
        <v>29</v>
      </c>
      <c r="C12" s="23">
        <v>195000</v>
      </c>
      <c r="D12" s="24">
        <v>625800</v>
      </c>
      <c r="E12" s="23">
        <v>145000</v>
      </c>
      <c r="F12" s="23">
        <v>113000</v>
      </c>
      <c r="G12" s="23">
        <v>260000</v>
      </c>
      <c r="H12" s="23">
        <v>125000</v>
      </c>
      <c r="I12" s="23">
        <v>123852</v>
      </c>
      <c r="J12" s="23">
        <v>226807.42857142861</v>
      </c>
      <c r="K12" s="23">
        <v>183447.39950810341</v>
      </c>
      <c r="L12" s="25">
        <v>0.80882447573947192</v>
      </c>
      <c r="M12" s="23">
        <v>501978.52783358371</v>
      </c>
      <c r="N12" s="23">
        <v>160308.66666666669</v>
      </c>
    </row>
    <row r="13" spans="1:14" ht="21.95" customHeight="1">
      <c r="A13" s="7" t="s">
        <v>30</v>
      </c>
      <c r="B13" s="8" t="s">
        <v>31</v>
      </c>
      <c r="C13" s="23">
        <v>230000</v>
      </c>
      <c r="D13" s="23">
        <v>698700</v>
      </c>
      <c r="E13" s="2"/>
      <c r="F13" s="23">
        <v>84000</v>
      </c>
      <c r="G13" s="23">
        <v>195000</v>
      </c>
      <c r="H13" s="2"/>
      <c r="I13" s="2"/>
      <c r="J13" s="23">
        <v>301925</v>
      </c>
      <c r="K13" s="23">
        <v>271739.99061602989</v>
      </c>
      <c r="L13" s="25">
        <v>0.90002480952564345</v>
      </c>
      <c r="M13" s="23">
        <v>709534.98592404486</v>
      </c>
      <c r="N13" s="23">
        <v>301925</v>
      </c>
    </row>
    <row r="15" spans="1:14">
      <c r="A15" s="60" t="s">
        <v>42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</row>
    <row r="16" spans="1:14">
      <c r="B16" s="1" t="s">
        <v>43</v>
      </c>
      <c r="C16" s="1" t="s">
        <v>44</v>
      </c>
      <c r="D16" s="1" t="s">
        <v>45</v>
      </c>
    </row>
    <row r="17" spans="1:14">
      <c r="B17" s="26" t="s">
        <v>36</v>
      </c>
      <c r="C17" s="27">
        <v>6</v>
      </c>
      <c r="D17" s="28">
        <v>0.75</v>
      </c>
    </row>
    <row r="18" spans="1:14">
      <c r="B18" s="2" t="s">
        <v>5</v>
      </c>
      <c r="C18" s="7">
        <v>0</v>
      </c>
      <c r="D18" s="29">
        <v>0</v>
      </c>
    </row>
    <row r="19" spans="1:14">
      <c r="B19" s="2" t="s">
        <v>6</v>
      </c>
      <c r="C19" s="7">
        <v>0</v>
      </c>
      <c r="D19" s="29">
        <v>0</v>
      </c>
    </row>
    <row r="20" spans="1:14">
      <c r="B20" s="2" t="s">
        <v>7</v>
      </c>
      <c r="C20" s="7">
        <v>0</v>
      </c>
      <c r="D20" s="29">
        <v>0</v>
      </c>
    </row>
    <row r="21" spans="1:14">
      <c r="B21" s="2" t="s">
        <v>8</v>
      </c>
      <c r="C21" s="7">
        <v>0</v>
      </c>
      <c r="D21" s="29">
        <v>0</v>
      </c>
    </row>
    <row r="22" spans="1:14">
      <c r="B22" s="2" t="s">
        <v>9</v>
      </c>
      <c r="C22" s="7">
        <v>0</v>
      </c>
      <c r="D22" s="29">
        <v>0</v>
      </c>
    </row>
    <row r="23" spans="1:14">
      <c r="B23" s="2" t="s">
        <v>10</v>
      </c>
      <c r="C23" s="7">
        <v>0</v>
      </c>
      <c r="D23" s="29">
        <v>0</v>
      </c>
    </row>
    <row r="26" spans="1:14">
      <c r="A26" s="60" t="s">
        <v>46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</row>
    <row r="27" spans="1:14">
      <c r="A27" s="30" t="s">
        <v>47</v>
      </c>
      <c r="B27" s="61" t="s">
        <v>36</v>
      </c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</row>
    <row r="28" spans="1:14" ht="45" customHeight="1">
      <c r="B28" s="55" t="s">
        <v>48</v>
      </c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</row>
  </sheetData>
  <mergeCells count="6">
    <mergeCell ref="A1:N1"/>
    <mergeCell ref="A3:N3"/>
    <mergeCell ref="B28:N28"/>
    <mergeCell ref="B27:N27"/>
    <mergeCell ref="A26:N26"/>
    <mergeCell ref="A15:N1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0"/>
  <sheetViews>
    <sheetView topLeftCell="A5" workbookViewId="0">
      <selection activeCell="B7" sqref="B7"/>
    </sheetView>
  </sheetViews>
  <sheetFormatPr defaultColWidth="8.85546875" defaultRowHeight="15"/>
  <cols>
    <col min="1" max="1" width="4" customWidth="1"/>
    <col min="2" max="2" width="100" customWidth="1"/>
  </cols>
  <sheetData>
    <row r="1" spans="1:2" ht="21.95" customHeight="1">
      <c r="A1" s="49" t="s">
        <v>49</v>
      </c>
      <c r="B1" s="56"/>
    </row>
    <row r="3" spans="1:2">
      <c r="A3" t="s">
        <v>50</v>
      </c>
      <c r="B3" s="32" t="s">
        <v>51</v>
      </c>
    </row>
    <row r="4" spans="1:2" ht="45" customHeight="1">
      <c r="A4" t="s">
        <v>52</v>
      </c>
      <c r="B4" s="33" t="s">
        <v>53</v>
      </c>
    </row>
    <row r="6" spans="1:2">
      <c r="A6" s="30" t="s">
        <v>54</v>
      </c>
    </row>
    <row r="7" spans="1:2" ht="60" customHeight="1">
      <c r="A7" t="s">
        <v>50</v>
      </c>
      <c r="B7" s="31" t="s">
        <v>55</v>
      </c>
    </row>
    <row r="8" spans="1:2" ht="45" customHeight="1">
      <c r="A8" t="s">
        <v>52</v>
      </c>
      <c r="B8" s="31" t="s">
        <v>56</v>
      </c>
    </row>
    <row r="11" spans="1:2">
      <c r="A11" s="30" t="s">
        <v>57</v>
      </c>
    </row>
    <row r="12" spans="1:2">
      <c r="A12" s="30" t="s">
        <v>2</v>
      </c>
      <c r="B12" s="30" t="s">
        <v>58</v>
      </c>
    </row>
    <row r="13" spans="1:2" ht="30" customHeight="1">
      <c r="A13" s="34" t="s">
        <v>16</v>
      </c>
      <c r="B13" s="31" t="s">
        <v>59</v>
      </c>
    </row>
    <row r="14" spans="1:2" ht="30" customHeight="1">
      <c r="A14" s="34" t="s">
        <v>18</v>
      </c>
      <c r="B14" s="31" t="s">
        <v>60</v>
      </c>
    </row>
    <row r="15" spans="1:2" ht="30" customHeight="1">
      <c r="A15" s="34" t="s">
        <v>20</v>
      </c>
      <c r="B15" s="31" t="s">
        <v>61</v>
      </c>
    </row>
    <row r="16" spans="1:2" ht="30" customHeight="1">
      <c r="A16" s="34" t="s">
        <v>22</v>
      </c>
      <c r="B16" s="31" t="s">
        <v>62</v>
      </c>
    </row>
    <row r="17" spans="1:2" ht="30" customHeight="1">
      <c r="A17" s="34" t="s">
        <v>24</v>
      </c>
      <c r="B17" s="31" t="s">
        <v>63</v>
      </c>
    </row>
    <row r="18" spans="1:2" ht="30" customHeight="1">
      <c r="A18" s="34" t="s">
        <v>26</v>
      </c>
      <c r="B18" s="31" t="s">
        <v>64</v>
      </c>
    </row>
    <row r="19" spans="1:2" ht="30" customHeight="1">
      <c r="A19" s="34" t="s">
        <v>28</v>
      </c>
      <c r="B19" s="31" t="s">
        <v>65</v>
      </c>
    </row>
    <row r="20" spans="1:2" ht="30" customHeight="1">
      <c r="A20" s="34" t="s">
        <v>30</v>
      </c>
      <c r="B20" s="31" t="s">
        <v>66</v>
      </c>
    </row>
  </sheetData>
  <mergeCells count="1">
    <mergeCell ref="A1:B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0"/>
  <sheetViews>
    <sheetView topLeftCell="A3" workbookViewId="0">
      <selection sqref="A1:G1"/>
    </sheetView>
  </sheetViews>
  <sheetFormatPr defaultColWidth="8.85546875" defaultRowHeight="15"/>
  <cols>
    <col min="1" max="1" width="5" customWidth="1"/>
    <col min="2" max="2" width="22" customWidth="1"/>
    <col min="3" max="3" width="50" customWidth="1"/>
    <col min="4" max="4" width="10" customWidth="1"/>
    <col min="5" max="6" width="16" customWidth="1"/>
    <col min="7" max="7" width="18" customWidth="1"/>
  </cols>
  <sheetData>
    <row r="1" spans="1:7" ht="21.95" customHeight="1">
      <c r="A1" s="49" t="s">
        <v>67</v>
      </c>
      <c r="B1" s="56"/>
      <c r="C1" s="56"/>
      <c r="D1" s="56"/>
      <c r="E1" s="56"/>
      <c r="F1" s="56"/>
      <c r="G1" s="56"/>
    </row>
    <row r="2" spans="1:7" ht="18" customHeight="1">
      <c r="A2" s="47" t="s">
        <v>68</v>
      </c>
      <c r="B2" s="57"/>
      <c r="C2" s="48" t="s">
        <v>5</v>
      </c>
      <c r="D2" s="57"/>
      <c r="E2" s="57"/>
      <c r="F2" s="57"/>
      <c r="G2" s="57"/>
    </row>
    <row r="3" spans="1:7" ht="18" customHeight="1">
      <c r="A3" s="47" t="s">
        <v>69</v>
      </c>
      <c r="B3" s="57"/>
      <c r="C3" s="48" t="s">
        <v>70</v>
      </c>
      <c r="D3" s="57"/>
      <c r="E3" s="57"/>
      <c r="F3" s="57"/>
      <c r="G3" s="57"/>
    </row>
    <row r="4" spans="1:7" ht="30" customHeight="1">
      <c r="A4" s="47" t="s">
        <v>71</v>
      </c>
      <c r="B4" s="57"/>
      <c r="C4" s="48" t="s">
        <v>72</v>
      </c>
      <c r="D4" s="57"/>
      <c r="E4" s="57"/>
      <c r="F4" s="57"/>
      <c r="G4" s="57"/>
    </row>
    <row r="5" spans="1:7" ht="18" customHeight="1">
      <c r="A5" s="47" t="s">
        <v>73</v>
      </c>
      <c r="B5" s="57"/>
      <c r="C5" s="48" t="s">
        <v>74</v>
      </c>
      <c r="D5" s="57"/>
      <c r="E5" s="57"/>
      <c r="F5" s="57"/>
      <c r="G5" s="57"/>
    </row>
    <row r="6" spans="1:7" ht="18" customHeight="1">
      <c r="A6" s="47" t="s">
        <v>75</v>
      </c>
      <c r="B6" s="57"/>
      <c r="C6" s="48" t="s">
        <v>76</v>
      </c>
      <c r="D6" s="57"/>
      <c r="E6" s="57"/>
      <c r="F6" s="57"/>
      <c r="G6" s="57"/>
    </row>
    <row r="8" spans="1:7">
      <c r="A8" s="1" t="s">
        <v>2</v>
      </c>
      <c r="B8" s="1" t="s">
        <v>3</v>
      </c>
      <c r="C8" s="1" t="s">
        <v>77</v>
      </c>
      <c r="D8" s="1" t="s">
        <v>4</v>
      </c>
      <c r="E8" s="1" t="s">
        <v>78</v>
      </c>
      <c r="F8" s="1" t="s">
        <v>79</v>
      </c>
      <c r="G8" s="1" t="s">
        <v>80</v>
      </c>
    </row>
    <row r="9" spans="1:7" ht="60" customHeight="1">
      <c r="A9" s="7" t="s">
        <v>16</v>
      </c>
      <c r="B9" s="8" t="s">
        <v>17</v>
      </c>
      <c r="C9" s="36" t="s">
        <v>81</v>
      </c>
      <c r="D9" s="37">
        <v>15</v>
      </c>
      <c r="E9" s="11">
        <v>199900</v>
      </c>
      <c r="F9" s="23">
        <f t="shared" ref="F9:F16" si="0">IF(ISNUMBER(E9),D9*E9*0.19,"")</f>
        <v>569715</v>
      </c>
      <c r="G9" s="23">
        <f t="shared" ref="G9:G16" si="1">IF(ISNUMBER(E9),D9*E9*(1+0.19),"")</f>
        <v>3568215</v>
      </c>
    </row>
    <row r="10" spans="1:7" ht="60" customHeight="1">
      <c r="A10" s="7" t="s">
        <v>18</v>
      </c>
      <c r="B10" s="8" t="s">
        <v>19</v>
      </c>
      <c r="C10" s="36" t="s">
        <v>82</v>
      </c>
      <c r="D10" s="37">
        <v>1</v>
      </c>
      <c r="E10" s="11">
        <v>199000</v>
      </c>
      <c r="F10" s="23">
        <f t="shared" si="0"/>
        <v>37810</v>
      </c>
      <c r="G10" s="23">
        <f t="shared" si="1"/>
        <v>236810</v>
      </c>
    </row>
    <row r="11" spans="1:7" ht="60" customHeight="1">
      <c r="A11" s="7" t="s">
        <v>20</v>
      </c>
      <c r="B11" s="8" t="s">
        <v>21</v>
      </c>
      <c r="C11" s="36" t="s">
        <v>83</v>
      </c>
      <c r="D11" s="37">
        <v>1</v>
      </c>
      <c r="E11" s="11">
        <v>199000</v>
      </c>
      <c r="F11" s="23">
        <f t="shared" si="0"/>
        <v>37810</v>
      </c>
      <c r="G11" s="23">
        <f t="shared" si="1"/>
        <v>236810</v>
      </c>
    </row>
    <row r="12" spans="1:7" ht="60" customHeight="1">
      <c r="A12" s="7" t="s">
        <v>22</v>
      </c>
      <c r="B12" s="8" t="s">
        <v>23</v>
      </c>
      <c r="C12" s="36" t="s">
        <v>84</v>
      </c>
      <c r="D12" s="37">
        <v>1</v>
      </c>
      <c r="E12" s="11">
        <v>199000</v>
      </c>
      <c r="F12" s="23">
        <f t="shared" si="0"/>
        <v>37810</v>
      </c>
      <c r="G12" s="23">
        <f t="shared" si="1"/>
        <v>236810</v>
      </c>
    </row>
    <row r="13" spans="1:7" ht="60" customHeight="1">
      <c r="A13" s="7" t="s">
        <v>24</v>
      </c>
      <c r="B13" s="8" t="s">
        <v>25</v>
      </c>
      <c r="C13" s="36" t="s">
        <v>85</v>
      </c>
      <c r="D13" s="37">
        <v>15</v>
      </c>
      <c r="E13" s="11">
        <v>135000</v>
      </c>
      <c r="F13" s="23">
        <f t="shared" si="0"/>
        <v>384750</v>
      </c>
      <c r="G13" s="23">
        <f t="shared" si="1"/>
        <v>2409750</v>
      </c>
    </row>
    <row r="14" spans="1:7" ht="60" customHeight="1">
      <c r="A14" s="7" t="s">
        <v>26</v>
      </c>
      <c r="B14" s="8" t="s">
        <v>27</v>
      </c>
      <c r="C14" s="36" t="s">
        <v>86</v>
      </c>
      <c r="D14" s="37">
        <v>13</v>
      </c>
      <c r="E14" s="11">
        <v>178000</v>
      </c>
      <c r="F14" s="23">
        <f t="shared" si="0"/>
        <v>439660</v>
      </c>
      <c r="G14" s="23">
        <f t="shared" si="1"/>
        <v>2753660</v>
      </c>
    </row>
    <row r="15" spans="1:7" ht="60" customHeight="1">
      <c r="A15" s="7" t="s">
        <v>28</v>
      </c>
      <c r="B15" s="8" t="s">
        <v>29</v>
      </c>
      <c r="C15" s="36" t="s">
        <v>87</v>
      </c>
      <c r="D15" s="37">
        <v>8</v>
      </c>
      <c r="E15" s="11">
        <v>195000</v>
      </c>
      <c r="F15" s="23">
        <f t="shared" si="0"/>
        <v>296400</v>
      </c>
      <c r="G15" s="23">
        <f t="shared" si="1"/>
        <v>1856400</v>
      </c>
    </row>
    <row r="16" spans="1:7" ht="60" customHeight="1">
      <c r="A16" s="7" t="s">
        <v>30</v>
      </c>
      <c r="B16" s="8" t="s">
        <v>31</v>
      </c>
      <c r="C16" s="36" t="s">
        <v>88</v>
      </c>
      <c r="D16" s="37">
        <v>3</v>
      </c>
      <c r="E16" s="11">
        <v>230000</v>
      </c>
      <c r="F16" s="23">
        <f t="shared" si="0"/>
        <v>131100</v>
      </c>
      <c r="G16" s="23">
        <f t="shared" si="1"/>
        <v>821100</v>
      </c>
    </row>
    <row r="18" spans="6:7">
      <c r="F18" s="35" t="s">
        <v>89</v>
      </c>
      <c r="G18" s="38">
        <f>SUM(G9:G16)/(1+0.19)</f>
        <v>10184500</v>
      </c>
    </row>
    <row r="19" spans="6:7">
      <c r="F19" s="35" t="s">
        <v>90</v>
      </c>
      <c r="G19" s="38">
        <f>G18*0.19</f>
        <v>1935055</v>
      </c>
    </row>
    <row r="20" spans="6:7">
      <c r="F20" s="39" t="s">
        <v>91</v>
      </c>
      <c r="G20" s="40">
        <f>SUM(G9:G16)</f>
        <v>12119555</v>
      </c>
    </row>
  </sheetData>
  <mergeCells count="11">
    <mergeCell ref="A4:B4"/>
    <mergeCell ref="C4:G4"/>
    <mergeCell ref="A2:B2"/>
    <mergeCell ref="A1:G1"/>
    <mergeCell ref="C6:G6"/>
    <mergeCell ref="C2:G2"/>
    <mergeCell ref="A5:B5"/>
    <mergeCell ref="C5:G5"/>
    <mergeCell ref="A3:B3"/>
    <mergeCell ref="A6:B6"/>
    <mergeCell ref="C3:G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0"/>
  <sheetViews>
    <sheetView workbookViewId="0">
      <selection sqref="A1:G1"/>
    </sheetView>
  </sheetViews>
  <sheetFormatPr defaultColWidth="8.85546875" defaultRowHeight="15"/>
  <cols>
    <col min="1" max="1" width="5" customWidth="1"/>
    <col min="2" max="2" width="22" customWidth="1"/>
    <col min="3" max="3" width="50" customWidth="1"/>
    <col min="4" max="4" width="10" customWidth="1"/>
    <col min="5" max="6" width="16" customWidth="1"/>
    <col min="7" max="7" width="18" customWidth="1"/>
  </cols>
  <sheetData>
    <row r="1" spans="1:7" ht="21.95" customHeight="1">
      <c r="A1" s="49" t="s">
        <v>67</v>
      </c>
      <c r="B1" s="56"/>
      <c r="C1" s="56"/>
      <c r="D1" s="56"/>
      <c r="E1" s="56"/>
      <c r="F1" s="56"/>
      <c r="G1" s="56"/>
    </row>
    <row r="2" spans="1:7" ht="18" customHeight="1">
      <c r="A2" s="47" t="s">
        <v>68</v>
      </c>
      <c r="B2" s="57"/>
      <c r="C2" s="48" t="s">
        <v>36</v>
      </c>
      <c r="D2" s="57"/>
      <c r="E2" s="57"/>
      <c r="F2" s="57"/>
      <c r="G2" s="57"/>
    </row>
    <row r="3" spans="1:7" ht="18" customHeight="1">
      <c r="A3" s="47" t="s">
        <v>69</v>
      </c>
      <c r="B3" s="57"/>
      <c r="C3" s="48" t="s">
        <v>92</v>
      </c>
      <c r="D3" s="57"/>
      <c r="E3" s="57"/>
      <c r="F3" s="57"/>
      <c r="G3" s="57"/>
    </row>
    <row r="4" spans="1:7" ht="30" customHeight="1">
      <c r="A4" s="47" t="s">
        <v>71</v>
      </c>
      <c r="B4" s="57"/>
      <c r="C4" s="48" t="s">
        <v>93</v>
      </c>
      <c r="D4" s="57"/>
      <c r="E4" s="57"/>
      <c r="F4" s="57"/>
      <c r="G4" s="57"/>
    </row>
    <row r="5" spans="1:7" ht="18" customHeight="1">
      <c r="A5" s="47" t="s">
        <v>73</v>
      </c>
      <c r="B5" s="57"/>
      <c r="C5" s="48" t="s">
        <v>74</v>
      </c>
      <c r="D5" s="57"/>
      <c r="E5" s="57"/>
      <c r="F5" s="57"/>
      <c r="G5" s="57"/>
    </row>
    <row r="6" spans="1:7" ht="18" customHeight="1">
      <c r="A6" s="47" t="s">
        <v>75</v>
      </c>
      <c r="B6" s="57"/>
      <c r="C6" s="48" t="s">
        <v>76</v>
      </c>
      <c r="D6" s="57"/>
      <c r="E6" s="57"/>
      <c r="F6" s="57"/>
      <c r="G6" s="57"/>
    </row>
    <row r="8" spans="1:7">
      <c r="A8" s="1" t="s">
        <v>2</v>
      </c>
      <c r="B8" s="1" t="s">
        <v>3</v>
      </c>
      <c r="C8" s="1" t="s">
        <v>77</v>
      </c>
      <c r="D8" s="1" t="s">
        <v>4</v>
      </c>
      <c r="E8" s="1" t="s">
        <v>78</v>
      </c>
      <c r="F8" s="1" t="s">
        <v>79</v>
      </c>
      <c r="G8" s="1" t="s">
        <v>80</v>
      </c>
    </row>
    <row r="9" spans="1:7" ht="60" customHeight="1">
      <c r="A9" s="7" t="s">
        <v>16</v>
      </c>
      <c r="B9" s="8" t="s">
        <v>17</v>
      </c>
      <c r="C9" s="36" t="s">
        <v>81</v>
      </c>
      <c r="D9" s="37">
        <v>15</v>
      </c>
      <c r="E9" s="11">
        <v>525800</v>
      </c>
      <c r="F9" s="23">
        <f t="shared" ref="F9:F16" si="0">IF(ISNUMBER(E9),D9*E9*0.19,"")</f>
        <v>1498530</v>
      </c>
      <c r="G9" s="23">
        <f t="shared" ref="G9:G16" si="1">IF(ISNUMBER(E9),D9*E9*(1+0.19),"")</f>
        <v>9385530</v>
      </c>
    </row>
    <row r="10" spans="1:7" ht="60" customHeight="1">
      <c r="A10" s="7" t="s">
        <v>18</v>
      </c>
      <c r="B10" s="8" t="s">
        <v>19</v>
      </c>
      <c r="C10" s="36" t="s">
        <v>82</v>
      </c>
      <c r="D10" s="37">
        <v>1</v>
      </c>
      <c r="E10" s="11">
        <v>412000</v>
      </c>
      <c r="F10" s="23">
        <f t="shared" si="0"/>
        <v>78280</v>
      </c>
      <c r="G10" s="23">
        <f t="shared" si="1"/>
        <v>490280</v>
      </c>
    </row>
    <row r="11" spans="1:7" ht="60" customHeight="1">
      <c r="A11" s="7" t="s">
        <v>20</v>
      </c>
      <c r="B11" s="8" t="s">
        <v>21</v>
      </c>
      <c r="C11" s="36" t="s">
        <v>83</v>
      </c>
      <c r="D11" s="37">
        <v>1</v>
      </c>
      <c r="E11" s="11">
        <v>525800</v>
      </c>
      <c r="F11" s="23">
        <f t="shared" si="0"/>
        <v>99902</v>
      </c>
      <c r="G11" s="23">
        <f t="shared" si="1"/>
        <v>625702</v>
      </c>
    </row>
    <row r="12" spans="1:7" ht="60" customHeight="1">
      <c r="A12" s="7" t="s">
        <v>22</v>
      </c>
      <c r="B12" s="8" t="s">
        <v>23</v>
      </c>
      <c r="C12" s="36" t="s">
        <v>84</v>
      </c>
      <c r="D12" s="37">
        <v>1</v>
      </c>
      <c r="E12" s="11">
        <v>525800</v>
      </c>
      <c r="F12" s="23">
        <f t="shared" si="0"/>
        <v>99902</v>
      </c>
      <c r="G12" s="23">
        <f t="shared" si="1"/>
        <v>625702</v>
      </c>
    </row>
    <row r="13" spans="1:7" ht="60" customHeight="1">
      <c r="A13" s="7" t="s">
        <v>24</v>
      </c>
      <c r="B13" s="8" t="s">
        <v>25</v>
      </c>
      <c r="C13" s="36" t="s">
        <v>85</v>
      </c>
      <c r="D13" s="37">
        <v>15</v>
      </c>
      <c r="E13" s="11">
        <v>311400</v>
      </c>
      <c r="F13" s="23">
        <f t="shared" si="0"/>
        <v>887490</v>
      </c>
      <c r="G13" s="23">
        <f t="shared" si="1"/>
        <v>5558490</v>
      </c>
    </row>
    <row r="14" spans="1:7" ht="60" customHeight="1">
      <c r="A14" s="7" t="s">
        <v>26</v>
      </c>
      <c r="B14" s="8" t="s">
        <v>27</v>
      </c>
      <c r="C14" s="36" t="s">
        <v>86</v>
      </c>
      <c r="D14" s="37">
        <v>13</v>
      </c>
      <c r="E14" s="11">
        <v>215400</v>
      </c>
      <c r="F14" s="23">
        <f t="shared" si="0"/>
        <v>532038</v>
      </c>
      <c r="G14" s="23">
        <f t="shared" si="1"/>
        <v>3332238</v>
      </c>
    </row>
    <row r="15" spans="1:7" ht="60" customHeight="1">
      <c r="A15" s="7" t="s">
        <v>28</v>
      </c>
      <c r="B15" s="8" t="s">
        <v>29</v>
      </c>
      <c r="C15" s="36" t="s">
        <v>87</v>
      </c>
      <c r="D15" s="37">
        <v>8</v>
      </c>
      <c r="E15" s="11">
        <v>625800</v>
      </c>
      <c r="F15" s="23">
        <f t="shared" si="0"/>
        <v>951216</v>
      </c>
      <c r="G15" s="23">
        <f t="shared" si="1"/>
        <v>5957616</v>
      </c>
    </row>
    <row r="16" spans="1:7" ht="60" customHeight="1">
      <c r="A16" s="7" t="s">
        <v>30</v>
      </c>
      <c r="B16" s="8" t="s">
        <v>31</v>
      </c>
      <c r="C16" s="36" t="s">
        <v>88</v>
      </c>
      <c r="D16" s="37">
        <v>3</v>
      </c>
      <c r="E16" s="11">
        <v>698700</v>
      </c>
      <c r="F16" s="23">
        <f t="shared" si="0"/>
        <v>398259</v>
      </c>
      <c r="G16" s="23">
        <f t="shared" si="1"/>
        <v>2494359</v>
      </c>
    </row>
    <row r="18" spans="6:7">
      <c r="F18" s="35" t="s">
        <v>89</v>
      </c>
      <c r="G18" s="38">
        <f>SUM(G9:G16)/(1+0.19)</f>
        <v>23924300</v>
      </c>
    </row>
    <row r="19" spans="6:7">
      <c r="F19" s="35" t="s">
        <v>90</v>
      </c>
      <c r="G19" s="38">
        <f>G18*0.19</f>
        <v>4545617</v>
      </c>
    </row>
    <row r="20" spans="6:7">
      <c r="F20" s="39" t="s">
        <v>91</v>
      </c>
      <c r="G20" s="40">
        <f>SUM(G9:G16)</f>
        <v>28469917</v>
      </c>
    </row>
  </sheetData>
  <mergeCells count="11">
    <mergeCell ref="A4:B4"/>
    <mergeCell ref="C4:G4"/>
    <mergeCell ref="A2:B2"/>
    <mergeCell ref="A1:G1"/>
    <mergeCell ref="C6:G6"/>
    <mergeCell ref="C2:G2"/>
    <mergeCell ref="A5:B5"/>
    <mergeCell ref="C5:G5"/>
    <mergeCell ref="A3:B3"/>
    <mergeCell ref="A6:B6"/>
    <mergeCell ref="C3:G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2"/>
  <sheetViews>
    <sheetView topLeftCell="A10" workbookViewId="0">
      <selection sqref="A1:G1"/>
    </sheetView>
  </sheetViews>
  <sheetFormatPr defaultColWidth="8.85546875" defaultRowHeight="15"/>
  <cols>
    <col min="1" max="1" width="5" customWidth="1"/>
    <col min="2" max="2" width="22" customWidth="1"/>
    <col min="3" max="3" width="50" customWidth="1"/>
    <col min="4" max="4" width="10" customWidth="1"/>
    <col min="5" max="6" width="16" customWidth="1"/>
    <col min="7" max="7" width="18" customWidth="1"/>
  </cols>
  <sheetData>
    <row r="1" spans="1:7" ht="21.95" customHeight="1">
      <c r="A1" s="49" t="s">
        <v>67</v>
      </c>
      <c r="B1" s="56"/>
      <c r="C1" s="56"/>
      <c r="D1" s="56"/>
      <c r="E1" s="56"/>
      <c r="F1" s="56"/>
      <c r="G1" s="56"/>
    </row>
    <row r="2" spans="1:7" ht="18" customHeight="1">
      <c r="A2" s="47" t="s">
        <v>68</v>
      </c>
      <c r="B2" s="57"/>
      <c r="C2" s="48" t="s">
        <v>6</v>
      </c>
      <c r="D2" s="57"/>
      <c r="E2" s="57"/>
      <c r="F2" s="57"/>
      <c r="G2" s="57"/>
    </row>
    <row r="3" spans="1:7" ht="18" customHeight="1">
      <c r="A3" s="47" t="s">
        <v>69</v>
      </c>
      <c r="B3" s="57"/>
      <c r="C3" s="48" t="s">
        <v>94</v>
      </c>
      <c r="D3" s="57"/>
      <c r="E3" s="57"/>
      <c r="F3" s="57"/>
      <c r="G3" s="57"/>
    </row>
    <row r="4" spans="1:7" ht="30" customHeight="1">
      <c r="A4" s="47" t="s">
        <v>71</v>
      </c>
      <c r="B4" s="57"/>
      <c r="C4" s="48" t="s">
        <v>95</v>
      </c>
      <c r="D4" s="57"/>
      <c r="E4" s="57"/>
      <c r="F4" s="57"/>
      <c r="G4" s="57"/>
    </row>
    <row r="5" spans="1:7" ht="18" customHeight="1">
      <c r="A5" s="47" t="s">
        <v>73</v>
      </c>
      <c r="B5" s="57"/>
      <c r="C5" s="48" t="s">
        <v>74</v>
      </c>
      <c r="D5" s="57"/>
      <c r="E5" s="57"/>
      <c r="F5" s="57"/>
      <c r="G5" s="57"/>
    </row>
    <row r="6" spans="1:7" ht="18" customHeight="1">
      <c r="A6" s="47" t="s">
        <v>75</v>
      </c>
      <c r="B6" s="57"/>
      <c r="C6" s="48" t="s">
        <v>76</v>
      </c>
      <c r="D6" s="57"/>
      <c r="E6" s="57"/>
      <c r="F6" s="57"/>
      <c r="G6" s="57"/>
    </row>
    <row r="8" spans="1:7">
      <c r="A8" s="1" t="s">
        <v>2</v>
      </c>
      <c r="B8" s="1" t="s">
        <v>3</v>
      </c>
      <c r="C8" s="1" t="s">
        <v>77</v>
      </c>
      <c r="D8" s="1" t="s">
        <v>4</v>
      </c>
      <c r="E8" s="1" t="s">
        <v>78</v>
      </c>
      <c r="F8" s="1" t="s">
        <v>79</v>
      </c>
      <c r="G8" s="1" t="s">
        <v>80</v>
      </c>
    </row>
    <row r="9" spans="1:7" ht="60" customHeight="1">
      <c r="A9" s="7" t="s">
        <v>16</v>
      </c>
      <c r="B9" s="8" t="s">
        <v>17</v>
      </c>
      <c r="C9" s="36" t="s">
        <v>81</v>
      </c>
      <c r="D9" s="37">
        <v>15</v>
      </c>
      <c r="E9" s="11">
        <v>185000</v>
      </c>
      <c r="F9" s="23">
        <f>IF(ISNUMBER(E9),D9*E9*0.19,"")</f>
        <v>527250</v>
      </c>
      <c r="G9" s="23">
        <f>IF(ISNUMBER(E9),D9*E9*(1+0.19),"")</f>
        <v>3302250</v>
      </c>
    </row>
    <row r="10" spans="1:7" ht="60" customHeight="1">
      <c r="A10" s="7" t="s">
        <v>18</v>
      </c>
      <c r="B10" s="8" t="s">
        <v>19</v>
      </c>
      <c r="C10" s="36" t="s">
        <v>82</v>
      </c>
      <c r="D10" s="37">
        <v>1</v>
      </c>
      <c r="E10" s="11">
        <v>137000</v>
      </c>
      <c r="F10" s="23">
        <f>IF(ISNUMBER(E10),D10*E10*0.19,"")</f>
        <v>26030</v>
      </c>
      <c r="G10" s="23">
        <f>IF(ISNUMBER(E10),D10*E10*(1+0.19),"")</f>
        <v>163030</v>
      </c>
    </row>
    <row r="11" spans="1:7" ht="60" customHeight="1">
      <c r="A11" s="7" t="s">
        <v>20</v>
      </c>
      <c r="B11" s="8" t="s">
        <v>21</v>
      </c>
      <c r="C11" s="36" t="s">
        <v>83</v>
      </c>
      <c r="D11" s="37">
        <v>1</v>
      </c>
      <c r="E11" s="11">
        <v>231000</v>
      </c>
      <c r="F11" s="23">
        <f>IF(ISNUMBER(E11),D11*E11*0.19,"")</f>
        <v>43890</v>
      </c>
      <c r="G11" s="23">
        <f>IF(ISNUMBER(E11),D11*E11*(1+0.19),"")</f>
        <v>274890</v>
      </c>
    </row>
    <row r="12" spans="1:7" ht="60" customHeight="1">
      <c r="A12" s="41" t="s">
        <v>22</v>
      </c>
      <c r="B12" s="42" t="s">
        <v>23</v>
      </c>
      <c r="C12" s="43" t="s">
        <v>84</v>
      </c>
      <c r="D12" s="44">
        <v>1</v>
      </c>
      <c r="E12" s="45"/>
      <c r="F12" s="45"/>
      <c r="G12" s="46" t="s">
        <v>96</v>
      </c>
    </row>
    <row r="13" spans="1:7" ht="60" customHeight="1">
      <c r="A13" s="41" t="s">
        <v>24</v>
      </c>
      <c r="B13" s="42" t="s">
        <v>25</v>
      </c>
      <c r="C13" s="43" t="s">
        <v>85</v>
      </c>
      <c r="D13" s="44">
        <v>15</v>
      </c>
      <c r="E13" s="45"/>
      <c r="F13" s="45"/>
      <c r="G13" s="46" t="s">
        <v>96</v>
      </c>
    </row>
    <row r="14" spans="1:7" ht="60" customHeight="1">
      <c r="A14" s="41" t="s">
        <v>26</v>
      </c>
      <c r="B14" s="42" t="s">
        <v>27</v>
      </c>
      <c r="C14" s="43" t="s">
        <v>86</v>
      </c>
      <c r="D14" s="44">
        <v>13</v>
      </c>
      <c r="E14" s="45"/>
      <c r="F14" s="45"/>
      <c r="G14" s="46" t="s">
        <v>96</v>
      </c>
    </row>
    <row r="15" spans="1:7" ht="60" customHeight="1">
      <c r="A15" s="7" t="s">
        <v>28</v>
      </c>
      <c r="B15" s="8" t="s">
        <v>29</v>
      </c>
      <c r="C15" s="36" t="s">
        <v>87</v>
      </c>
      <c r="D15" s="37">
        <v>8</v>
      </c>
      <c r="E15" s="11">
        <v>145000</v>
      </c>
      <c r="F15" s="23">
        <f>IF(ISNUMBER(E15),D15*E15*0.19,"")</f>
        <v>220400</v>
      </c>
      <c r="G15" s="23">
        <f>IF(ISNUMBER(E15),D15*E15*(1+0.19),"")</f>
        <v>1380400</v>
      </c>
    </row>
    <row r="16" spans="1:7" ht="60" customHeight="1">
      <c r="A16" s="41" t="s">
        <v>30</v>
      </c>
      <c r="B16" s="42" t="s">
        <v>31</v>
      </c>
      <c r="C16" s="43" t="s">
        <v>88</v>
      </c>
      <c r="D16" s="44">
        <v>3</v>
      </c>
      <c r="E16" s="45"/>
      <c r="F16" s="45"/>
      <c r="G16" s="46" t="s">
        <v>96</v>
      </c>
    </row>
    <row r="17" spans="2:7">
      <c r="B17" s="62" t="s">
        <v>97</v>
      </c>
      <c r="C17" s="57"/>
      <c r="D17" s="57"/>
      <c r="E17" s="2"/>
      <c r="F17" s="2"/>
      <c r="G17" s="2"/>
    </row>
    <row r="18" spans="2:7">
      <c r="B18" s="57" t="s">
        <v>98</v>
      </c>
      <c r="C18" s="57"/>
      <c r="D18" s="57"/>
      <c r="E18" s="11">
        <v>1500000</v>
      </c>
      <c r="F18" s="23">
        <f>E18*0.19</f>
        <v>285000</v>
      </c>
      <c r="G18" s="23">
        <f>E18*(1+0.19)</f>
        <v>1785000</v>
      </c>
    </row>
    <row r="20" spans="2:7">
      <c r="F20" s="35" t="s">
        <v>89</v>
      </c>
      <c r="G20" s="38">
        <f>SUM(G9:G18)/(1+0.19)</f>
        <v>5803000</v>
      </c>
    </row>
    <row r="21" spans="2:7">
      <c r="F21" s="35" t="s">
        <v>90</v>
      </c>
      <c r="G21" s="38">
        <f>G20*0.19</f>
        <v>1102570</v>
      </c>
    </row>
    <row r="22" spans="2:7">
      <c r="F22" s="39" t="s">
        <v>91</v>
      </c>
      <c r="G22" s="40">
        <f>SUM(G9:G18)</f>
        <v>6905570</v>
      </c>
    </row>
  </sheetData>
  <mergeCells count="13">
    <mergeCell ref="A2:B2"/>
    <mergeCell ref="A1:G1"/>
    <mergeCell ref="C6:G6"/>
    <mergeCell ref="C2:G2"/>
    <mergeCell ref="A5:B5"/>
    <mergeCell ref="B17:D17"/>
    <mergeCell ref="B18:D18"/>
    <mergeCell ref="C5:G5"/>
    <mergeCell ref="A3:B3"/>
    <mergeCell ref="A6:B6"/>
    <mergeCell ref="C3:G3"/>
    <mergeCell ref="A4:B4"/>
    <mergeCell ref="C4:G4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0"/>
  <sheetViews>
    <sheetView topLeftCell="A13" workbookViewId="0">
      <selection sqref="A1:G1"/>
    </sheetView>
  </sheetViews>
  <sheetFormatPr defaultColWidth="8.85546875" defaultRowHeight="15"/>
  <cols>
    <col min="1" max="1" width="5" customWidth="1"/>
    <col min="2" max="2" width="22" customWidth="1"/>
    <col min="3" max="3" width="50" customWidth="1"/>
    <col min="4" max="4" width="10" customWidth="1"/>
    <col min="5" max="6" width="16" customWidth="1"/>
    <col min="7" max="7" width="18" customWidth="1"/>
  </cols>
  <sheetData>
    <row r="1" spans="1:7" ht="21.95" customHeight="1">
      <c r="A1" s="49" t="s">
        <v>67</v>
      </c>
      <c r="B1" s="56"/>
      <c r="C1" s="56"/>
      <c r="D1" s="56"/>
      <c r="E1" s="56"/>
      <c r="F1" s="56"/>
      <c r="G1" s="56"/>
    </row>
    <row r="2" spans="1:7" ht="18" customHeight="1">
      <c r="A2" s="47" t="s">
        <v>68</v>
      </c>
      <c r="B2" s="57"/>
      <c r="C2" s="48" t="s">
        <v>7</v>
      </c>
      <c r="D2" s="57"/>
      <c r="E2" s="57"/>
      <c r="F2" s="57"/>
      <c r="G2" s="57"/>
    </row>
    <row r="3" spans="1:7" ht="18" customHeight="1">
      <c r="A3" s="47" t="s">
        <v>69</v>
      </c>
      <c r="B3" s="57"/>
      <c r="C3" s="48" t="s">
        <v>99</v>
      </c>
      <c r="D3" s="57"/>
      <c r="E3" s="57"/>
      <c r="F3" s="57"/>
      <c r="G3" s="57"/>
    </row>
    <row r="4" spans="1:7" ht="30" customHeight="1">
      <c r="A4" s="47" t="s">
        <v>71</v>
      </c>
      <c r="B4" s="57"/>
      <c r="C4" s="48" t="s">
        <v>100</v>
      </c>
      <c r="D4" s="57"/>
      <c r="E4" s="57"/>
      <c r="F4" s="57"/>
      <c r="G4" s="57"/>
    </row>
    <row r="5" spans="1:7" ht="18" customHeight="1">
      <c r="A5" s="47" t="s">
        <v>73</v>
      </c>
      <c r="B5" s="57"/>
      <c r="C5" s="48" t="s">
        <v>101</v>
      </c>
      <c r="D5" s="57"/>
      <c r="E5" s="57"/>
      <c r="F5" s="57"/>
      <c r="G5" s="57"/>
    </row>
    <row r="6" spans="1:7" ht="18" customHeight="1">
      <c r="A6" s="47" t="s">
        <v>75</v>
      </c>
      <c r="B6" s="57"/>
      <c r="C6" s="48" t="s">
        <v>102</v>
      </c>
      <c r="D6" s="57"/>
      <c r="E6" s="57"/>
      <c r="F6" s="57"/>
      <c r="G6" s="57"/>
    </row>
    <row r="8" spans="1:7">
      <c r="A8" s="1" t="s">
        <v>2</v>
      </c>
      <c r="B8" s="1" t="s">
        <v>3</v>
      </c>
      <c r="C8" s="1" t="s">
        <v>77</v>
      </c>
      <c r="D8" s="1" t="s">
        <v>4</v>
      </c>
      <c r="E8" s="1" t="s">
        <v>78</v>
      </c>
      <c r="F8" s="1" t="s">
        <v>79</v>
      </c>
      <c r="G8" s="1" t="s">
        <v>80</v>
      </c>
    </row>
    <row r="9" spans="1:7" ht="60" customHeight="1">
      <c r="A9" s="7" t="s">
        <v>16</v>
      </c>
      <c r="B9" s="8" t="s">
        <v>17</v>
      </c>
      <c r="C9" s="36" t="s">
        <v>81</v>
      </c>
      <c r="D9" s="37">
        <v>15</v>
      </c>
      <c r="E9" s="11">
        <v>84000</v>
      </c>
      <c r="F9" s="23">
        <f t="shared" ref="F9:F16" si="0">IF(ISNUMBER(E9),D9*E9*0.19,"")</f>
        <v>239400</v>
      </c>
      <c r="G9" s="23">
        <f t="shared" ref="G9:G16" si="1">IF(ISNUMBER(E9),D9*E9*(1+0.19),"")</f>
        <v>1499400</v>
      </c>
    </row>
    <row r="10" spans="1:7" ht="60" customHeight="1">
      <c r="A10" s="7" t="s">
        <v>18</v>
      </c>
      <c r="B10" s="8" t="s">
        <v>19</v>
      </c>
      <c r="C10" s="36" t="s">
        <v>82</v>
      </c>
      <c r="D10" s="37">
        <v>1</v>
      </c>
      <c r="E10" s="11">
        <v>84000</v>
      </c>
      <c r="F10" s="23">
        <f t="shared" si="0"/>
        <v>15960</v>
      </c>
      <c r="G10" s="23">
        <f t="shared" si="1"/>
        <v>99960</v>
      </c>
    </row>
    <row r="11" spans="1:7" ht="60" customHeight="1">
      <c r="A11" s="7" t="s">
        <v>20</v>
      </c>
      <c r="B11" s="8" t="s">
        <v>21</v>
      </c>
      <c r="C11" s="36" t="s">
        <v>83</v>
      </c>
      <c r="D11" s="37">
        <v>1</v>
      </c>
      <c r="E11" s="11">
        <v>84000</v>
      </c>
      <c r="F11" s="23">
        <f t="shared" si="0"/>
        <v>15960</v>
      </c>
      <c r="G11" s="23">
        <f t="shared" si="1"/>
        <v>99960</v>
      </c>
    </row>
    <row r="12" spans="1:7" ht="60" customHeight="1">
      <c r="A12" s="7" t="s">
        <v>22</v>
      </c>
      <c r="B12" s="8" t="s">
        <v>23</v>
      </c>
      <c r="C12" s="36" t="s">
        <v>84</v>
      </c>
      <c r="D12" s="37">
        <v>1</v>
      </c>
      <c r="E12" s="11">
        <v>84000</v>
      </c>
      <c r="F12" s="23">
        <f t="shared" si="0"/>
        <v>15960</v>
      </c>
      <c r="G12" s="23">
        <f t="shared" si="1"/>
        <v>99960</v>
      </c>
    </row>
    <row r="13" spans="1:7" ht="60" customHeight="1">
      <c r="A13" s="7" t="s">
        <v>24</v>
      </c>
      <c r="B13" s="8" t="s">
        <v>25</v>
      </c>
      <c r="C13" s="36" t="s">
        <v>85</v>
      </c>
      <c r="D13" s="37">
        <v>15</v>
      </c>
      <c r="E13" s="11">
        <v>84000</v>
      </c>
      <c r="F13" s="23">
        <f t="shared" si="0"/>
        <v>239400</v>
      </c>
      <c r="G13" s="23">
        <f t="shared" si="1"/>
        <v>1499400</v>
      </c>
    </row>
    <row r="14" spans="1:7" ht="60" customHeight="1">
      <c r="A14" s="7" t="s">
        <v>26</v>
      </c>
      <c r="B14" s="8" t="s">
        <v>27</v>
      </c>
      <c r="C14" s="36" t="s">
        <v>86</v>
      </c>
      <c r="D14" s="37">
        <v>13</v>
      </c>
      <c r="E14" s="11">
        <v>77000</v>
      </c>
      <c r="F14" s="23">
        <f t="shared" si="0"/>
        <v>190190</v>
      </c>
      <c r="G14" s="23">
        <f t="shared" si="1"/>
        <v>1191190</v>
      </c>
    </row>
    <row r="15" spans="1:7" ht="60" customHeight="1">
      <c r="A15" s="7" t="s">
        <v>28</v>
      </c>
      <c r="B15" s="8" t="s">
        <v>29</v>
      </c>
      <c r="C15" s="36" t="s">
        <v>87</v>
      </c>
      <c r="D15" s="37">
        <v>8</v>
      </c>
      <c r="E15" s="11">
        <v>113000</v>
      </c>
      <c r="F15" s="23">
        <f t="shared" si="0"/>
        <v>171760</v>
      </c>
      <c r="G15" s="23">
        <f t="shared" si="1"/>
        <v>1075760</v>
      </c>
    </row>
    <row r="16" spans="1:7" ht="60" customHeight="1">
      <c r="A16" s="7" t="s">
        <v>30</v>
      </c>
      <c r="B16" s="8" t="s">
        <v>31</v>
      </c>
      <c r="C16" s="36" t="s">
        <v>88</v>
      </c>
      <c r="D16" s="37">
        <v>3</v>
      </c>
      <c r="E16" s="11">
        <v>84000</v>
      </c>
      <c r="F16" s="23">
        <f t="shared" si="0"/>
        <v>47880</v>
      </c>
      <c r="G16" s="23">
        <f t="shared" si="1"/>
        <v>299880</v>
      </c>
    </row>
    <row r="18" spans="6:7">
      <c r="F18" s="35" t="s">
        <v>89</v>
      </c>
      <c r="G18" s="38">
        <f>SUM(G9:G16)/(1+0.19)</f>
        <v>4929000</v>
      </c>
    </row>
    <row r="19" spans="6:7">
      <c r="F19" s="35" t="s">
        <v>90</v>
      </c>
      <c r="G19" s="38">
        <f>G18*0.19</f>
        <v>936510</v>
      </c>
    </row>
    <row r="20" spans="6:7">
      <c r="F20" s="39" t="s">
        <v>91</v>
      </c>
      <c r="G20" s="40">
        <f>SUM(G9:G16)</f>
        <v>5865510</v>
      </c>
    </row>
  </sheetData>
  <mergeCells count="11">
    <mergeCell ref="A4:B4"/>
    <mergeCell ref="C4:G4"/>
    <mergeCell ref="A2:B2"/>
    <mergeCell ref="A1:G1"/>
    <mergeCell ref="C6:G6"/>
    <mergeCell ref="C2:G2"/>
    <mergeCell ref="A5:B5"/>
    <mergeCell ref="C5:G5"/>
    <mergeCell ref="A3:B3"/>
    <mergeCell ref="A6:B6"/>
    <mergeCell ref="C3:G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topLeftCell="A12" workbookViewId="0">
      <selection sqref="A1:G1"/>
    </sheetView>
  </sheetViews>
  <sheetFormatPr defaultColWidth="8.85546875" defaultRowHeight="15"/>
  <cols>
    <col min="1" max="1" width="5" customWidth="1"/>
    <col min="2" max="2" width="22" customWidth="1"/>
    <col min="3" max="3" width="50" customWidth="1"/>
    <col min="4" max="4" width="10" customWidth="1"/>
    <col min="5" max="6" width="16" customWidth="1"/>
    <col min="7" max="7" width="18" customWidth="1"/>
  </cols>
  <sheetData>
    <row r="1" spans="1:7" ht="21.95" customHeight="1">
      <c r="A1" s="49" t="s">
        <v>67</v>
      </c>
      <c r="B1" s="56"/>
      <c r="C1" s="56"/>
      <c r="D1" s="56"/>
      <c r="E1" s="56"/>
      <c r="F1" s="56"/>
      <c r="G1" s="56"/>
    </row>
    <row r="2" spans="1:7" ht="18" customHeight="1">
      <c r="A2" s="47" t="s">
        <v>68</v>
      </c>
      <c r="B2" s="57"/>
      <c r="C2" s="48" t="s">
        <v>8</v>
      </c>
      <c r="D2" s="57"/>
      <c r="E2" s="57"/>
      <c r="F2" s="57"/>
      <c r="G2" s="57"/>
    </row>
    <row r="3" spans="1:7" ht="18" customHeight="1">
      <c r="A3" s="47" t="s">
        <v>69</v>
      </c>
      <c r="B3" s="57"/>
      <c r="C3" s="48" t="s">
        <v>103</v>
      </c>
      <c r="D3" s="57"/>
      <c r="E3" s="57"/>
      <c r="F3" s="57"/>
      <c r="G3" s="57"/>
    </row>
    <row r="4" spans="1:7" ht="30" customHeight="1">
      <c r="A4" s="47" t="s">
        <v>71</v>
      </c>
      <c r="B4" s="57"/>
      <c r="C4" s="48" t="s">
        <v>104</v>
      </c>
      <c r="D4" s="57"/>
      <c r="E4" s="57"/>
      <c r="F4" s="57"/>
      <c r="G4" s="57"/>
    </row>
    <row r="5" spans="1:7" ht="18" customHeight="1">
      <c r="A5" s="47" t="s">
        <v>73</v>
      </c>
      <c r="B5" s="57"/>
      <c r="C5" s="48" t="s">
        <v>74</v>
      </c>
      <c r="D5" s="57"/>
      <c r="E5" s="57"/>
      <c r="F5" s="57"/>
      <c r="G5" s="57"/>
    </row>
    <row r="6" spans="1:7" ht="18" customHeight="1">
      <c r="A6" s="47" t="s">
        <v>75</v>
      </c>
      <c r="B6" s="57"/>
      <c r="C6" s="48" t="s">
        <v>76</v>
      </c>
      <c r="D6" s="57"/>
      <c r="E6" s="57"/>
      <c r="F6" s="57"/>
      <c r="G6" s="57"/>
    </row>
    <row r="8" spans="1:7">
      <c r="A8" s="1" t="s">
        <v>2</v>
      </c>
      <c r="B8" s="1" t="s">
        <v>3</v>
      </c>
      <c r="C8" s="1" t="s">
        <v>77</v>
      </c>
      <c r="D8" s="1" t="s">
        <v>4</v>
      </c>
      <c r="E8" s="1" t="s">
        <v>78</v>
      </c>
      <c r="F8" s="1" t="s">
        <v>79</v>
      </c>
      <c r="G8" s="1" t="s">
        <v>80</v>
      </c>
    </row>
    <row r="9" spans="1:7" ht="60" customHeight="1">
      <c r="A9" s="7" t="s">
        <v>16</v>
      </c>
      <c r="B9" s="8" t="s">
        <v>17</v>
      </c>
      <c r="C9" s="36" t="s">
        <v>81</v>
      </c>
      <c r="D9" s="37">
        <v>15</v>
      </c>
      <c r="E9" s="11">
        <v>220000</v>
      </c>
      <c r="F9" s="23">
        <f t="shared" ref="F9:F16" si="0">IF(ISNUMBER(E9),D9*E9*0.19,"")</f>
        <v>627000</v>
      </c>
      <c r="G9" s="23">
        <f t="shared" ref="G9:G16" si="1">IF(ISNUMBER(E9),D9*E9*(1+0.19),"")</f>
        <v>3927000</v>
      </c>
    </row>
    <row r="10" spans="1:7" ht="60" customHeight="1">
      <c r="A10" s="7" t="s">
        <v>18</v>
      </c>
      <c r="B10" s="8" t="s">
        <v>19</v>
      </c>
      <c r="C10" s="36" t="s">
        <v>82</v>
      </c>
      <c r="D10" s="37">
        <v>1</v>
      </c>
      <c r="E10" s="11">
        <v>220000</v>
      </c>
      <c r="F10" s="23">
        <f t="shared" si="0"/>
        <v>41800</v>
      </c>
      <c r="G10" s="23">
        <f t="shared" si="1"/>
        <v>261800</v>
      </c>
    </row>
    <row r="11" spans="1:7" ht="60" customHeight="1">
      <c r="A11" s="7" t="s">
        <v>20</v>
      </c>
      <c r="B11" s="8" t="s">
        <v>21</v>
      </c>
      <c r="C11" s="36" t="s">
        <v>83</v>
      </c>
      <c r="D11" s="37">
        <v>1</v>
      </c>
      <c r="E11" s="11">
        <v>220000</v>
      </c>
      <c r="F11" s="23">
        <f t="shared" si="0"/>
        <v>41800</v>
      </c>
      <c r="G11" s="23">
        <f t="shared" si="1"/>
        <v>261800</v>
      </c>
    </row>
    <row r="12" spans="1:7" ht="60" customHeight="1">
      <c r="A12" s="7" t="s">
        <v>22</v>
      </c>
      <c r="B12" s="8" t="s">
        <v>23</v>
      </c>
      <c r="C12" s="36" t="s">
        <v>84</v>
      </c>
      <c r="D12" s="37">
        <v>1</v>
      </c>
      <c r="E12" s="11">
        <v>220000</v>
      </c>
      <c r="F12" s="23">
        <f t="shared" si="0"/>
        <v>41800</v>
      </c>
      <c r="G12" s="23">
        <f t="shared" si="1"/>
        <v>261800</v>
      </c>
    </row>
    <row r="13" spans="1:7" ht="60" customHeight="1">
      <c r="A13" s="7" t="s">
        <v>24</v>
      </c>
      <c r="B13" s="8" t="s">
        <v>25</v>
      </c>
      <c r="C13" s="36" t="s">
        <v>85</v>
      </c>
      <c r="D13" s="37">
        <v>15</v>
      </c>
      <c r="E13" s="11">
        <v>203000</v>
      </c>
      <c r="F13" s="23">
        <f t="shared" si="0"/>
        <v>578550</v>
      </c>
      <c r="G13" s="23">
        <f t="shared" si="1"/>
        <v>3623550</v>
      </c>
    </row>
    <row r="14" spans="1:7" ht="60" customHeight="1">
      <c r="A14" s="7" t="s">
        <v>26</v>
      </c>
      <c r="B14" s="8" t="s">
        <v>27</v>
      </c>
      <c r="C14" s="36" t="s">
        <v>86</v>
      </c>
      <c r="D14" s="37">
        <v>13</v>
      </c>
      <c r="E14" s="11">
        <v>168800</v>
      </c>
      <c r="F14" s="23">
        <f t="shared" si="0"/>
        <v>416936</v>
      </c>
      <c r="G14" s="23">
        <f t="shared" si="1"/>
        <v>2611336</v>
      </c>
    </row>
    <row r="15" spans="1:7" ht="60" customHeight="1">
      <c r="A15" s="7" t="s">
        <v>28</v>
      </c>
      <c r="B15" s="8" t="s">
        <v>29</v>
      </c>
      <c r="C15" s="36" t="s">
        <v>87</v>
      </c>
      <c r="D15" s="37">
        <v>8</v>
      </c>
      <c r="E15" s="11">
        <v>260000</v>
      </c>
      <c r="F15" s="23">
        <f t="shared" si="0"/>
        <v>395200</v>
      </c>
      <c r="G15" s="23">
        <f t="shared" si="1"/>
        <v>2475200</v>
      </c>
    </row>
    <row r="16" spans="1:7" ht="60" customHeight="1">
      <c r="A16" s="7" t="s">
        <v>30</v>
      </c>
      <c r="B16" s="8" t="s">
        <v>31</v>
      </c>
      <c r="C16" s="36" t="s">
        <v>88</v>
      </c>
      <c r="D16" s="37">
        <v>3</v>
      </c>
      <c r="E16" s="11">
        <v>195000</v>
      </c>
      <c r="F16" s="23">
        <f t="shared" si="0"/>
        <v>111150</v>
      </c>
      <c r="G16" s="23">
        <f t="shared" si="1"/>
        <v>696150</v>
      </c>
    </row>
    <row r="18" spans="6:7">
      <c r="F18" s="35" t="s">
        <v>89</v>
      </c>
      <c r="G18" s="38">
        <f>SUM(G9:G16)/(1+0.19)</f>
        <v>11864400</v>
      </c>
    </row>
    <row r="19" spans="6:7">
      <c r="F19" s="35" t="s">
        <v>90</v>
      </c>
      <c r="G19" s="38">
        <f>G18*0.19</f>
        <v>2254236</v>
      </c>
    </row>
    <row r="20" spans="6:7">
      <c r="F20" s="39" t="s">
        <v>91</v>
      </c>
      <c r="G20" s="40">
        <f>SUM(G9:G16)</f>
        <v>14118636</v>
      </c>
    </row>
  </sheetData>
  <mergeCells count="11">
    <mergeCell ref="A4:B4"/>
    <mergeCell ref="C4:G4"/>
    <mergeCell ref="A2:B2"/>
    <mergeCell ref="A1:G1"/>
    <mergeCell ref="C6:G6"/>
    <mergeCell ref="C2:G2"/>
    <mergeCell ref="A5:B5"/>
    <mergeCell ref="C5:G5"/>
    <mergeCell ref="A3:B3"/>
    <mergeCell ref="A6:B6"/>
    <mergeCell ref="C3:G3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20"/>
  <sheetViews>
    <sheetView tabSelected="1" workbookViewId="0">
      <selection activeCell="C23" sqref="C23"/>
    </sheetView>
  </sheetViews>
  <sheetFormatPr defaultColWidth="8.85546875" defaultRowHeight="15"/>
  <cols>
    <col min="1" max="1" width="5" customWidth="1"/>
    <col min="2" max="2" width="22" customWidth="1"/>
    <col min="3" max="3" width="50" customWidth="1"/>
    <col min="4" max="4" width="10" customWidth="1"/>
    <col min="5" max="6" width="16" customWidth="1"/>
    <col min="7" max="7" width="18" customWidth="1"/>
  </cols>
  <sheetData>
    <row r="1" spans="1:7" ht="21.95" customHeight="1">
      <c r="A1" s="49" t="s">
        <v>67</v>
      </c>
      <c r="B1" s="56"/>
      <c r="C1" s="56"/>
      <c r="D1" s="56"/>
      <c r="E1" s="56"/>
      <c r="F1" s="56"/>
      <c r="G1" s="56"/>
    </row>
    <row r="2" spans="1:7" ht="18" customHeight="1">
      <c r="A2" s="47" t="s">
        <v>68</v>
      </c>
      <c r="B2" s="57"/>
      <c r="C2" s="48" t="s">
        <v>9</v>
      </c>
      <c r="D2" s="57"/>
      <c r="E2" s="57"/>
      <c r="F2" s="57"/>
      <c r="G2" s="57"/>
    </row>
    <row r="3" spans="1:7" ht="18" customHeight="1">
      <c r="A3" s="47" t="s">
        <v>69</v>
      </c>
      <c r="B3" s="57"/>
      <c r="C3" s="48" t="s">
        <v>105</v>
      </c>
      <c r="D3" s="57"/>
      <c r="E3" s="57"/>
      <c r="F3" s="57"/>
      <c r="G3" s="57"/>
    </row>
    <row r="4" spans="1:7" ht="30" customHeight="1">
      <c r="A4" s="47" t="s">
        <v>71</v>
      </c>
      <c r="B4" s="57"/>
      <c r="C4" s="48" t="s">
        <v>106</v>
      </c>
      <c r="D4" s="57"/>
      <c r="E4" s="57"/>
      <c r="F4" s="57"/>
      <c r="G4" s="57"/>
    </row>
    <row r="5" spans="1:7" ht="18" customHeight="1">
      <c r="A5" s="47" t="s">
        <v>73</v>
      </c>
      <c r="B5" s="57"/>
      <c r="C5" s="48" t="s">
        <v>74</v>
      </c>
      <c r="D5" s="57"/>
      <c r="E5" s="57"/>
      <c r="F5" s="57"/>
      <c r="G5" s="57"/>
    </row>
    <row r="6" spans="1:7" ht="18" customHeight="1">
      <c r="A6" s="47" t="s">
        <v>75</v>
      </c>
      <c r="B6" s="57"/>
      <c r="C6" s="48" t="s">
        <v>76</v>
      </c>
      <c r="D6" s="57"/>
      <c r="E6" s="57"/>
      <c r="F6" s="57"/>
      <c r="G6" s="57"/>
    </row>
    <row r="8" spans="1:7">
      <c r="A8" s="1" t="s">
        <v>2</v>
      </c>
      <c r="B8" s="1" t="s">
        <v>3</v>
      </c>
      <c r="C8" s="1" t="s">
        <v>77</v>
      </c>
      <c r="D8" s="1" t="s">
        <v>4</v>
      </c>
      <c r="E8" s="1" t="s">
        <v>78</v>
      </c>
      <c r="F8" s="1" t="s">
        <v>79</v>
      </c>
      <c r="G8" s="1" t="s">
        <v>80</v>
      </c>
    </row>
    <row r="9" spans="1:7" ht="60" customHeight="1">
      <c r="A9" s="7" t="s">
        <v>16</v>
      </c>
      <c r="B9" s="8" t="s">
        <v>17</v>
      </c>
      <c r="C9" s="36" t="s">
        <v>81</v>
      </c>
      <c r="D9" s="37">
        <v>15</v>
      </c>
      <c r="E9" s="11">
        <v>130000</v>
      </c>
      <c r="F9" s="23">
        <f t="shared" ref="F9:F15" si="0">IF(ISNUMBER(E9),D9*E9*0.19,"")</f>
        <v>370500</v>
      </c>
      <c r="G9" s="23">
        <f t="shared" ref="G9:G15" si="1">IF(ISNUMBER(E9),D9*E9*(1+0.19),"")</f>
        <v>2320500</v>
      </c>
    </row>
    <row r="10" spans="1:7" ht="60" customHeight="1">
      <c r="A10" s="7" t="s">
        <v>18</v>
      </c>
      <c r="B10" s="8" t="s">
        <v>19</v>
      </c>
      <c r="C10" s="36" t="s">
        <v>82</v>
      </c>
      <c r="D10" s="37">
        <v>1</v>
      </c>
      <c r="E10" s="11">
        <v>130000</v>
      </c>
      <c r="F10" s="23">
        <f t="shared" si="0"/>
        <v>24700</v>
      </c>
      <c r="G10" s="23">
        <f t="shared" si="1"/>
        <v>154700</v>
      </c>
    </row>
    <row r="11" spans="1:7" ht="60" customHeight="1">
      <c r="A11" s="7" t="s">
        <v>20</v>
      </c>
      <c r="B11" s="8" t="s">
        <v>21</v>
      </c>
      <c r="C11" s="36" t="s">
        <v>83</v>
      </c>
      <c r="D11" s="37">
        <v>1</v>
      </c>
      <c r="E11" s="11">
        <v>130000</v>
      </c>
      <c r="F11" s="23">
        <f t="shared" si="0"/>
        <v>24700</v>
      </c>
      <c r="G11" s="23">
        <f t="shared" si="1"/>
        <v>154700</v>
      </c>
    </row>
    <row r="12" spans="1:7" ht="60" customHeight="1">
      <c r="A12" s="7" t="s">
        <v>22</v>
      </c>
      <c r="B12" s="8" t="s">
        <v>23</v>
      </c>
      <c r="C12" s="36" t="s">
        <v>84</v>
      </c>
      <c r="D12" s="37">
        <v>1</v>
      </c>
      <c r="E12" s="11">
        <v>158000</v>
      </c>
      <c r="F12" s="23">
        <f t="shared" si="0"/>
        <v>30020</v>
      </c>
      <c r="G12" s="23">
        <f t="shared" si="1"/>
        <v>188020</v>
      </c>
    </row>
    <row r="13" spans="1:7" ht="60" customHeight="1">
      <c r="A13" s="7" t="s">
        <v>24</v>
      </c>
      <c r="B13" s="8" t="s">
        <v>25</v>
      </c>
      <c r="C13" s="36" t="s">
        <v>85</v>
      </c>
      <c r="D13" s="37">
        <v>15</v>
      </c>
      <c r="E13" s="11">
        <v>102000</v>
      </c>
      <c r="F13" s="23">
        <f t="shared" si="0"/>
        <v>290700</v>
      </c>
      <c r="G13" s="23">
        <f t="shared" si="1"/>
        <v>1820700</v>
      </c>
    </row>
    <row r="14" spans="1:7" ht="60" customHeight="1">
      <c r="A14" s="7" t="s">
        <v>26</v>
      </c>
      <c r="B14" s="8" t="s">
        <v>27</v>
      </c>
      <c r="C14" s="36" t="s">
        <v>86</v>
      </c>
      <c r="D14" s="37">
        <v>13</v>
      </c>
      <c r="E14" s="11">
        <v>100000</v>
      </c>
      <c r="F14" s="23">
        <f t="shared" si="0"/>
        <v>247000</v>
      </c>
      <c r="G14" s="23">
        <f t="shared" si="1"/>
        <v>1547000</v>
      </c>
    </row>
    <row r="15" spans="1:7" ht="60" customHeight="1">
      <c r="A15" s="7" t="s">
        <v>28</v>
      </c>
      <c r="B15" s="8" t="s">
        <v>29</v>
      </c>
      <c r="C15" s="36" t="s">
        <v>87</v>
      </c>
      <c r="D15" s="37">
        <v>8</v>
      </c>
      <c r="E15" s="11">
        <v>125000</v>
      </c>
      <c r="F15" s="23">
        <f t="shared" si="0"/>
        <v>190000</v>
      </c>
      <c r="G15" s="23">
        <f t="shared" si="1"/>
        <v>1190000</v>
      </c>
    </row>
    <row r="16" spans="1:7" ht="60" customHeight="1">
      <c r="A16" s="41" t="s">
        <v>30</v>
      </c>
      <c r="B16" s="42" t="s">
        <v>31</v>
      </c>
      <c r="C16" s="43" t="s">
        <v>88</v>
      </c>
      <c r="D16" s="44">
        <v>3</v>
      </c>
      <c r="E16" s="45"/>
      <c r="F16" s="45"/>
      <c r="G16" s="46" t="s">
        <v>96</v>
      </c>
    </row>
    <row r="18" spans="6:7">
      <c r="F18" s="35" t="s">
        <v>89</v>
      </c>
      <c r="G18" s="38">
        <f>SUM(G9:G16)/(1+0.19)</f>
        <v>6198000</v>
      </c>
    </row>
    <row r="19" spans="6:7">
      <c r="F19" s="35" t="s">
        <v>90</v>
      </c>
      <c r="G19" s="38">
        <f>G18*0.19</f>
        <v>1177620</v>
      </c>
    </row>
    <row r="20" spans="6:7">
      <c r="F20" s="39" t="s">
        <v>91</v>
      </c>
      <c r="G20" s="40">
        <f>SUM(G9:G16)</f>
        <v>7375620</v>
      </c>
    </row>
  </sheetData>
  <mergeCells count="11">
    <mergeCell ref="A4:B4"/>
    <mergeCell ref="C4:G4"/>
    <mergeCell ref="A2:B2"/>
    <mergeCell ref="A1:G1"/>
    <mergeCell ref="C6:G6"/>
    <mergeCell ref="C2:G2"/>
    <mergeCell ref="A5:B5"/>
    <mergeCell ref="C5:G5"/>
    <mergeCell ref="A3:B3"/>
    <mergeCell ref="A6:B6"/>
    <mergeCell ref="C3:G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20"/>
  <sheetViews>
    <sheetView topLeftCell="A11" workbookViewId="0">
      <selection sqref="A1:G1"/>
    </sheetView>
  </sheetViews>
  <sheetFormatPr defaultColWidth="8.85546875" defaultRowHeight="15"/>
  <cols>
    <col min="1" max="1" width="5" customWidth="1"/>
    <col min="2" max="2" width="22" customWidth="1"/>
    <col min="3" max="3" width="50" customWidth="1"/>
    <col min="4" max="4" width="10" customWidth="1"/>
    <col min="5" max="6" width="16" customWidth="1"/>
    <col min="7" max="7" width="18" customWidth="1"/>
  </cols>
  <sheetData>
    <row r="1" spans="1:7" ht="21.95" customHeight="1">
      <c r="A1" s="49" t="s">
        <v>67</v>
      </c>
      <c r="B1" s="56"/>
      <c r="C1" s="56"/>
      <c r="D1" s="56"/>
      <c r="E1" s="56"/>
      <c r="F1" s="56"/>
      <c r="G1" s="56"/>
    </row>
    <row r="2" spans="1:7" ht="18" customHeight="1">
      <c r="A2" s="47" t="s">
        <v>68</v>
      </c>
      <c r="B2" s="57"/>
      <c r="C2" s="48" t="s">
        <v>10</v>
      </c>
      <c r="D2" s="57"/>
      <c r="E2" s="57"/>
      <c r="F2" s="57"/>
      <c r="G2" s="57"/>
    </row>
    <row r="3" spans="1:7" ht="18" customHeight="1">
      <c r="A3" s="47" t="s">
        <v>69</v>
      </c>
      <c r="B3" s="57"/>
      <c r="C3" s="48" t="s">
        <v>107</v>
      </c>
      <c r="D3" s="57"/>
      <c r="E3" s="57"/>
      <c r="F3" s="57"/>
      <c r="G3" s="57"/>
    </row>
    <row r="4" spans="1:7" ht="30" customHeight="1">
      <c r="A4" s="47" t="s">
        <v>71</v>
      </c>
      <c r="B4" s="57"/>
      <c r="C4" s="48" t="s">
        <v>108</v>
      </c>
      <c r="D4" s="57"/>
      <c r="E4" s="57"/>
      <c r="F4" s="57"/>
      <c r="G4" s="57"/>
    </row>
    <row r="5" spans="1:7" ht="18" customHeight="1">
      <c r="A5" s="47" t="s">
        <v>73</v>
      </c>
      <c r="B5" s="57"/>
      <c r="C5" s="48" t="s">
        <v>74</v>
      </c>
      <c r="D5" s="57"/>
      <c r="E5" s="57"/>
      <c r="F5" s="57"/>
      <c r="G5" s="57"/>
    </row>
    <row r="6" spans="1:7" ht="18" customHeight="1">
      <c r="A6" s="47" t="s">
        <v>75</v>
      </c>
      <c r="B6" s="57"/>
      <c r="C6" s="48" t="s">
        <v>76</v>
      </c>
      <c r="D6" s="57"/>
      <c r="E6" s="57"/>
      <c r="F6" s="57"/>
      <c r="G6" s="57"/>
    </row>
    <row r="8" spans="1:7">
      <c r="A8" s="1" t="s">
        <v>2</v>
      </c>
      <c r="B8" s="1" t="s">
        <v>3</v>
      </c>
      <c r="C8" s="1" t="s">
        <v>77</v>
      </c>
      <c r="D8" s="1" t="s">
        <v>4</v>
      </c>
      <c r="E8" s="1" t="s">
        <v>78</v>
      </c>
      <c r="F8" s="1" t="s">
        <v>79</v>
      </c>
      <c r="G8" s="1" t="s">
        <v>80</v>
      </c>
    </row>
    <row r="9" spans="1:7" ht="60" customHeight="1">
      <c r="A9" s="7" t="s">
        <v>16</v>
      </c>
      <c r="B9" s="8" t="s">
        <v>17</v>
      </c>
      <c r="C9" s="36" t="s">
        <v>81</v>
      </c>
      <c r="D9" s="37">
        <v>15</v>
      </c>
      <c r="E9" s="11">
        <v>115596</v>
      </c>
      <c r="F9" s="23">
        <f t="shared" ref="F9:F15" si="0">IF(ISNUMBER(E9),D9*E9*0.19,"")</f>
        <v>329448.59999999998</v>
      </c>
      <c r="G9" s="23">
        <f t="shared" ref="G9:G15" si="1">IF(ISNUMBER(E9),D9*E9*(1+0.19),"")</f>
        <v>2063388.5999999999</v>
      </c>
    </row>
    <row r="10" spans="1:7" ht="60" customHeight="1">
      <c r="A10" s="7" t="s">
        <v>18</v>
      </c>
      <c r="B10" s="8" t="s">
        <v>19</v>
      </c>
      <c r="C10" s="36" t="s">
        <v>82</v>
      </c>
      <c r="D10" s="37">
        <v>1</v>
      </c>
      <c r="E10" s="11">
        <v>115596</v>
      </c>
      <c r="F10" s="23">
        <f t="shared" si="0"/>
        <v>21963.24</v>
      </c>
      <c r="G10" s="23">
        <f t="shared" si="1"/>
        <v>137559.24</v>
      </c>
    </row>
    <row r="11" spans="1:7" ht="60" customHeight="1">
      <c r="A11" s="7" t="s">
        <v>20</v>
      </c>
      <c r="B11" s="8" t="s">
        <v>21</v>
      </c>
      <c r="C11" s="36" t="s">
        <v>83</v>
      </c>
      <c r="D11" s="37">
        <v>1</v>
      </c>
      <c r="E11" s="11">
        <v>115596</v>
      </c>
      <c r="F11" s="23">
        <f t="shared" si="0"/>
        <v>21963.24</v>
      </c>
      <c r="G11" s="23">
        <f t="shared" si="1"/>
        <v>137559.24</v>
      </c>
    </row>
    <row r="12" spans="1:7" ht="60" customHeight="1">
      <c r="A12" s="7" t="s">
        <v>22</v>
      </c>
      <c r="B12" s="8" t="s">
        <v>23</v>
      </c>
      <c r="C12" s="36" t="s">
        <v>84</v>
      </c>
      <c r="D12" s="37">
        <v>1</v>
      </c>
      <c r="E12" s="11">
        <v>115596</v>
      </c>
      <c r="F12" s="23">
        <f t="shared" si="0"/>
        <v>21963.24</v>
      </c>
      <c r="G12" s="23">
        <f t="shared" si="1"/>
        <v>137559.24</v>
      </c>
    </row>
    <row r="13" spans="1:7" ht="60" customHeight="1">
      <c r="A13" s="7" t="s">
        <v>24</v>
      </c>
      <c r="B13" s="8" t="s">
        <v>25</v>
      </c>
      <c r="C13" s="36" t="s">
        <v>85</v>
      </c>
      <c r="D13" s="37">
        <v>15</v>
      </c>
      <c r="E13" s="11">
        <v>105687</v>
      </c>
      <c r="F13" s="23">
        <f t="shared" si="0"/>
        <v>301207.95</v>
      </c>
      <c r="G13" s="23">
        <f t="shared" si="1"/>
        <v>1886512.95</v>
      </c>
    </row>
    <row r="14" spans="1:7" ht="60" customHeight="1">
      <c r="A14" s="7" t="s">
        <v>26</v>
      </c>
      <c r="B14" s="8" t="s">
        <v>27</v>
      </c>
      <c r="C14" s="36" t="s">
        <v>86</v>
      </c>
      <c r="D14" s="37">
        <v>13</v>
      </c>
      <c r="E14" s="11">
        <v>140366</v>
      </c>
      <c r="F14" s="23">
        <f t="shared" si="0"/>
        <v>346704.02</v>
      </c>
      <c r="G14" s="23">
        <f t="shared" si="1"/>
        <v>2171462.02</v>
      </c>
    </row>
    <row r="15" spans="1:7" ht="60" customHeight="1">
      <c r="A15" s="7" t="s">
        <v>28</v>
      </c>
      <c r="B15" s="8" t="s">
        <v>29</v>
      </c>
      <c r="C15" s="36" t="s">
        <v>87</v>
      </c>
      <c r="D15" s="37">
        <v>8</v>
      </c>
      <c r="E15" s="11">
        <v>123852</v>
      </c>
      <c r="F15" s="23">
        <f t="shared" si="0"/>
        <v>188255.04</v>
      </c>
      <c r="G15" s="23">
        <f t="shared" si="1"/>
        <v>1179071.04</v>
      </c>
    </row>
    <row r="16" spans="1:7" ht="60" customHeight="1">
      <c r="A16" s="41" t="s">
        <v>30</v>
      </c>
      <c r="B16" s="42" t="s">
        <v>31</v>
      </c>
      <c r="C16" s="43" t="s">
        <v>88</v>
      </c>
      <c r="D16" s="44">
        <v>3</v>
      </c>
      <c r="E16" s="45"/>
      <c r="F16" s="45"/>
      <c r="G16" s="46" t="s">
        <v>96</v>
      </c>
    </row>
    <row r="18" spans="6:7">
      <c r="F18" s="35" t="s">
        <v>89</v>
      </c>
      <c r="G18" s="38">
        <f>SUM(G9:G16)/(1+0.19)</f>
        <v>6481607.0000000009</v>
      </c>
    </row>
    <row r="19" spans="6:7">
      <c r="F19" s="35" t="s">
        <v>90</v>
      </c>
      <c r="G19" s="38">
        <f>G18*0.19</f>
        <v>1231505.3300000003</v>
      </c>
    </row>
    <row r="20" spans="6:7">
      <c r="F20" s="39" t="s">
        <v>91</v>
      </c>
      <c r="G20" s="40">
        <f>SUM(G9:G16)</f>
        <v>7713112.330000001</v>
      </c>
    </row>
  </sheetData>
  <mergeCells count="11">
    <mergeCell ref="A4:B4"/>
    <mergeCell ref="C4:G4"/>
    <mergeCell ref="A2:B2"/>
    <mergeCell ref="A1:G1"/>
    <mergeCell ref="C6:G6"/>
    <mergeCell ref="C2:G2"/>
    <mergeCell ref="A5:B5"/>
    <mergeCell ref="C5:G5"/>
    <mergeCell ref="A3:B3"/>
    <mergeCell ref="A6:B6"/>
    <mergeCell ref="C3:G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Arabelly Orjuela Sanchez</cp:lastModifiedBy>
  <cp:revision/>
  <dcterms:created xsi:type="dcterms:W3CDTF">2026-06-02T20:45:13Z</dcterms:created>
  <dcterms:modified xsi:type="dcterms:W3CDTF">2026-06-23T16:36:44Z</dcterms:modified>
  <cp:category/>
  <cp:contentStatus/>
</cp:coreProperties>
</file>